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14520" windowHeight="11985" tabRatio="806" activeTab="0"/>
  </bookViews>
  <sheets>
    <sheet name="4-1" sheetId="1" r:id="rId1"/>
    <sheet name="4-2" sheetId="2" r:id="rId2"/>
    <sheet name="5-1 და 5-2 ბ" sheetId="3" r:id="rId3"/>
    <sheet name="5-3" sheetId="4" r:id="rId4"/>
    <sheet name="5-4" sheetId="5" r:id="rId5"/>
    <sheet name="5-5" sheetId="6" r:id="rId6"/>
    <sheet name="5-6" sheetId="7" r:id="rId7"/>
    <sheet name="5-7" sheetId="8" r:id="rId8"/>
    <sheet name="5-8" sheetId="9" r:id="rId9"/>
    <sheet name="5-9" sheetId="10" r:id="rId10"/>
    <sheet name="5-10" sheetId="11" r:id="rId11"/>
  </sheets>
  <definedNames>
    <definedName name="_xlnm.Print_Area" localSheetId="2">'5-1 და 5-2 ბ'!$A$1:$L$57</definedName>
    <definedName name="_xlnm.Print_Area" localSheetId="10">'5-10'!$A$1:$H$16</definedName>
    <definedName name="_xlnm.Print_Area" localSheetId="3">'5-3'!$A$1:$M$11</definedName>
    <definedName name="_xlnm.Print_Area" localSheetId="4">'5-4'!$A$1:$D$9</definedName>
    <definedName name="_xlnm.Print_Area" localSheetId="5">'5-5'!$A$1:$C$12</definedName>
    <definedName name="_xlnm.Print_Area" localSheetId="6">'5-6'!$A$1:$B$5</definedName>
    <definedName name="_xlnm.Print_Area" localSheetId="7">'5-7'!$A$1:$B$5</definedName>
    <definedName name="_xlnm.Print_Area" localSheetId="8">'5-8'!$A$1:$B$11</definedName>
    <definedName name="_xlnm.Print_Area" localSheetId="9">'5-9'!$A$1:$B$6</definedName>
  </definedNames>
  <calcPr fullCalcOnLoad="1"/>
</workbook>
</file>

<file path=xl/sharedStrings.xml><?xml version="1.0" encoding="utf-8"?>
<sst xmlns="http://schemas.openxmlformats.org/spreadsheetml/2006/main" count="1734" uniqueCount="571">
  <si>
    <t>სხვა ხარჯები</t>
  </si>
  <si>
    <t>საქონელი და მომსახურება</t>
  </si>
  <si>
    <t>შრომის ანაზღაურება</t>
  </si>
  <si>
    <t>გრანტები</t>
  </si>
  <si>
    <t>სუბსიდიები</t>
  </si>
  <si>
    <t>სოციალური უზრუნველყოფა</t>
  </si>
  <si>
    <t>დამტკიცებული გეგმა</t>
  </si>
  <si>
    <t>დაზუსტებული გეგმა</t>
  </si>
  <si>
    <t>საკასო შესრულება</t>
  </si>
  <si>
    <t>ათას ლარებში</t>
  </si>
  <si>
    <t>დაფინანსების წყარო</t>
  </si>
  <si>
    <t>შენიშვნა</t>
  </si>
  <si>
    <t>სულ:</t>
  </si>
  <si>
    <t>ლარებში</t>
  </si>
  <si>
    <t>შესყიდვის ობიექტი</t>
  </si>
  <si>
    <t xml:space="preserve">ხელშეკრულების ღირებულება </t>
  </si>
  <si>
    <t>№</t>
  </si>
  <si>
    <t>ქონების დასახელება</t>
  </si>
  <si>
    <t>ნარჩენი ღირებულება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</si>
  <si>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</si>
  <si>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</si>
  <si>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</si>
  <si>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</si>
  <si>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</si>
  <si>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</si>
  <si>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</si>
  <si>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</si>
  <si>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</si>
  <si>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</si>
  <si>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</si>
  <si>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</si>
  <si>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</si>
  <si>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</si>
  <si>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</si>
  <si>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საბიუჯეტო ასიგნებები</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</si>
  <si>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</si>
  <si>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</si>
  <si>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</si>
  <si>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</si>
  <si>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</si>
  <si>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</si>
  <si>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</si>
  <si>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</si>
  <si>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</si>
  <si>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</si>
  <si>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</si>
  <si>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</si>
  <si>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</si>
  <si>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</si>
  <si>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</si>
  <si>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</si>
  <si>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</si>
  <si>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</si>
  <si>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</si>
  <si>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</si>
  <si>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</si>
  <si>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</si>
  <si>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</si>
  <si>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</si>
  <si>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</si>
  <si>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</si>
  <si>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</si>
  <si>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</si>
  <si>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</si>
  <si>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</si>
  <si>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</si>
  <si>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</si>
  <si>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</si>
  <si>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</si>
  <si>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</si>
  <si>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</si>
  <si>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</si>
  <si>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</si>
  <si>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</si>
  <si>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სამხედრო ტექნიკისა და ტყვია-წამლის შეძენის ხარჯი</t>
  </si>
  <si>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</si>
  <si>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</si>
  <si>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</si>
  <si>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</si>
  <si>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</si>
  <si>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</si>
  <si>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</si>
  <si>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</si>
  <si>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</si>
  <si>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</si>
  <si>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</si>
  <si>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</si>
  <si>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</si>
  <si>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t>სხვა დანარჩენი თანამშრომელი</t>
  </si>
  <si>
    <t>გრანტის/კრედიტის მოცულობა შესაბამის ვალუტაში</t>
  </si>
  <si>
    <t>ხელშეკრულების მოქმედების ვადა</t>
  </si>
  <si>
    <t>შესაბამის ვალუტაში</t>
  </si>
  <si>
    <t>კონვერტირებული ლარში</t>
  </si>
  <si>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</si>
  <si>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</si>
  <si>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t xml:space="preserve">დანართი </t>
    </r>
    <r>
      <rPr>
        <b/>
        <i/>
        <sz val="12"/>
        <rFont val="Calibri"/>
        <family val="2"/>
      </rPr>
      <t>№5ბ</t>
    </r>
  </si>
  <si>
    <r>
      <rPr>
        <b/>
        <sz val="10"/>
        <rFont val="Sylfaen"/>
        <family val="1"/>
      </rPr>
      <t xml:space="preserve">შენიშვნა *: </t>
    </r>
    <r>
      <rPr>
        <sz val="10"/>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</si>
  <si>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rFont val="Sylfaen"/>
        <family val="1"/>
      </rPr>
      <t xml:space="preserve">შენიშვნა **: </t>
    </r>
    <r>
      <rPr>
        <sz val="10"/>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</si>
  <si>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t>კურსთა შორის სხვაობა</t>
  </si>
  <si>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</si>
  <si>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</si>
  <si>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t>შენიშვნა**: დანართი ქვეყნდება კვარტალურად, კვარტლის დასრულებიდან 1 თვის განმავლობაში.</t>
  </si>
  <si>
    <r>
      <rPr>
        <b/>
        <sz val="8"/>
        <color indexed="8"/>
        <rFont val="Calibri"/>
        <family val="2"/>
      </rPr>
      <t>შენიშვნა *: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</si>
  <si>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t xml:space="preserve">სსიპ </t>
    </r>
    <r>
      <rPr>
        <u val="single"/>
        <sz val="11"/>
        <rFont val="Sylfaen"/>
        <family val="1"/>
      </rPr>
      <t>(საქართველოს იუსტიციის სასწავლო ცენტრი)</t>
    </r>
    <r>
      <rPr>
        <b/>
        <sz val="14"/>
        <rFont val="Sylfaen"/>
        <family val="1"/>
      </rPr>
      <t xml:space="preserve">-ის 2017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rFont val="Sylfaen"/>
        <family val="1"/>
      </rPr>
      <t>31.12.2017 წ)</t>
    </r>
    <r>
      <rPr>
        <b/>
        <sz val="14"/>
        <rFont val="Sylfaen"/>
        <family val="1"/>
      </rPr>
      <t xml:space="preserve"> მდგომარეობით</t>
    </r>
  </si>
  <si>
    <r>
      <t>ინფორმაცია სსიპ საქართველოს იუსტიციის სასწავლო ცენტრის</t>
    </r>
    <r>
      <rPr>
        <b/>
        <sz val="11"/>
        <color indexed="8"/>
        <rFont val="Calibri"/>
        <family val="2"/>
      </rPr>
      <t>-</t>
    </r>
    <r>
      <rPr>
        <b/>
        <sz val="14"/>
        <color indexed="8"/>
        <rFont val="Calibri"/>
        <family val="2"/>
      </rPr>
      <t xml:space="preserve">ის მიერ  </t>
    </r>
    <r>
      <rPr>
        <u val="single"/>
        <sz val="14"/>
        <color indexed="8"/>
        <rFont val="Calibri"/>
        <family val="2"/>
      </rPr>
      <t>(</t>
    </r>
    <r>
      <rPr>
        <b/>
        <sz val="14"/>
        <color indexed="8"/>
        <rFont val="Calibri"/>
        <family val="2"/>
      </rPr>
      <t xml:space="preserve">შრომის ანაზღაურებაზე გაწეული ხარჯების შესახებ </t>
    </r>
    <r>
      <rPr>
        <sz val="11"/>
        <color indexed="8"/>
        <rFont val="Calibri"/>
        <family val="2"/>
      </rPr>
      <t xml:space="preserve">31.12.2017  </t>
    </r>
    <r>
      <rPr>
        <b/>
        <sz val="14"/>
        <color indexed="8"/>
        <rFont val="Calibri"/>
        <family val="2"/>
      </rPr>
      <t xml:space="preserve">მდგომარეობით  </t>
    </r>
  </si>
  <si>
    <r>
      <t xml:space="preserve">ინფორმაცია სსიპ საქართველოს იუსტიციის სასწავლო ცენტრის-ის მიერ მივლინებაზე გაწეული ხარჯების შესახებ  </t>
    </r>
    <r>
      <rPr>
        <sz val="11"/>
        <color indexed="8"/>
        <rFont val="Calibri"/>
        <family val="2"/>
      </rPr>
      <t>31.12.2017-ის</t>
    </r>
    <r>
      <rPr>
        <b/>
        <sz val="11"/>
        <color indexed="8"/>
        <rFont val="Calibri"/>
        <family val="2"/>
      </rPr>
      <t xml:space="preserve"> მდგომარეობით  </t>
    </r>
  </si>
  <si>
    <t xml:space="preserve">Ford Fiesta </t>
  </si>
  <si>
    <t xml:space="preserve">Volkswagen Krafter </t>
  </si>
  <si>
    <t xml:space="preserve">Hyunday van </t>
  </si>
  <si>
    <t xml:space="preserve">Suzuki S cross </t>
  </si>
  <si>
    <t>Skoda Octavia</t>
  </si>
  <si>
    <t>2017 წლის განმავლობაში მოხმარებული საწვავის ხარჯი</t>
  </si>
  <si>
    <t>2017 წლის განმავლობაში ავტოსატრანსპორტო საშუალებების ტექნიკურ მომსახურებაზე გაწეული ხარჯები</t>
  </si>
  <si>
    <t>ქ. თბილისი, სანდრო ეულის ქ. N3</t>
  </si>
  <si>
    <t>ყვარელი, ილიას გორა</t>
  </si>
  <si>
    <t>ქ. ზუგდიდი, თეატრის ქ. N2 90.7კვ.მ.</t>
  </si>
  <si>
    <t>ქ. გურჯაანი, თამარ მეფის ქუჩა (47.02 კვ.მ.)</t>
  </si>
  <si>
    <t>ქ. ბორჯომი, იუსტიციის სახლის შენობა-ნაგებობის N1 დან  40.3 კვ.მ.</t>
  </si>
  <si>
    <t>2017 წლის განმავლობაში სატელეფონო საუბრებზე  გაწეული სატელეკომუნიკაციო  ხარჯები ჯამურად</t>
  </si>
  <si>
    <r>
      <rPr>
        <b/>
        <sz val="12"/>
        <color indexed="8"/>
        <rFont val="Calibri"/>
        <family val="2"/>
      </rPr>
      <t>ინფორმაცია 2017 წლის განმავლობაში სსიპ საქართველოს იუსტიციის სასწავლო ცენტრის</t>
    </r>
    <r>
      <rPr>
        <b/>
        <sz val="12"/>
        <color indexed="8"/>
        <rFont val="Calibri"/>
        <family val="2"/>
      </rPr>
      <t>თვის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t>
    </r>
    <r>
      <rPr>
        <b/>
        <u val="single"/>
        <sz val="12"/>
        <color indexed="8"/>
        <rFont val="Calibri"/>
        <family val="2"/>
      </rPr>
      <t xml:space="preserve"> 31.12.2017 </t>
    </r>
    <r>
      <rPr>
        <b/>
        <sz val="12"/>
        <color indexed="8"/>
        <rFont val="Calibri"/>
        <family val="2"/>
      </rPr>
      <t>მდგომარეობით</t>
    </r>
  </si>
  <si>
    <t>გერმანიის საერთაშორისო თანამშრომლობის საზოგადოება (GIZ)</t>
  </si>
  <si>
    <t>ევროკავშირის მიერ დაფინანსებული პროექტი" კერძო და ადმინისტრაციული სამართლის სისტემების განვითარების ხელშეწყობა საქართველოში"</t>
  </si>
  <si>
    <t>მიწის რეგისტრაციის პროცესში მონაწილე პირების (მუნიციპალიტეტის წარმომადგენლების, საჯარო რეესტრის თანამშრომლების) აღჭურვა სათანადო ცოდნითა და უნარებით, რათა სრულფასოვნად და მაღალკვალიფიციურად შეზლონ დაკისრებული უფლება-მოვალეობების შესრულება და მოქალაქეთა მომსახურება, რაც საბოლოო ჯამში უზრუნველყოფს ქვეყანაში მიმდინარე მიწის რეფორმის ეფექტიან განხორციელებას</t>
  </si>
  <si>
    <t>82292 GEL</t>
  </si>
  <si>
    <t>სპეციალური სასწავლო კურსის შექმნისა და ტრენინგების ჩატარების გზით, ევროკავშირის მომხმარებელთა უფლებების დაცვის სამართალში საჯარო მოხელეების სათანადო ცოდნით აღჭურვა</t>
  </si>
  <si>
    <t>58017.5 GEL</t>
  </si>
  <si>
    <t>სპეციალურად შემუშავებლი ტრენინგ მოდულის საფუძველზე ტრენინგების ჩატარების გზით მიწის რეგისტრაციის პროცესში მონაწილე პირების აღჭურვა სათანადო ცოდნითა და უნარებით, რათა სრულფასოვნად და მაღალკვალიფიციურად შეძლონ დაკისრებული უფლება-მოვალეობების შესრულება და მოქალაქეთა მომსახურება, რაც საბოლოო ჯამში უზრუნველყოფს მიწის სისტემური რეგისტრაციის საპილოტო პროექტისა და ქვეყანაში მიმდინარე წმიწის რეფორმის ეფექტიან განხორციელებას</t>
  </si>
  <si>
    <t>17180 GEL</t>
  </si>
  <si>
    <t>97047 GEL</t>
  </si>
  <si>
    <t>გადახდისუუნარობის მენეჯმენტის საკითხებზე კომპლექსური ტრენინგი-მოდულის შემუშავება; იმ პროფესიონალების იდენტიფიცირება, ვინც უკვე მუშაობს და მომავალში გეგმავს გადახდისუუნარობის მიმართულების სპეციალიზაციას</t>
  </si>
  <si>
    <t>72292 GEL</t>
  </si>
  <si>
    <t>29457.5 GEL</t>
  </si>
  <si>
    <r>
      <t xml:space="preserve">ინფორმაცია </t>
    </r>
    <r>
      <rPr>
        <b/>
        <u val="single"/>
        <sz val="12"/>
        <color indexed="8"/>
        <rFont val="Calibri"/>
        <family val="2"/>
      </rPr>
      <t>სსიპ საქართველოს იუსტიციის სასწავლო ცენტრის</t>
    </r>
    <r>
      <rPr>
        <u val="single"/>
        <sz val="11"/>
        <color indexed="8"/>
        <rFont val="Calibri"/>
        <family val="2"/>
      </rPr>
      <t xml:space="preserve"> </t>
    </r>
    <r>
      <rPr>
        <b/>
        <sz val="14"/>
        <color indexed="8"/>
        <rFont val="Calibri"/>
        <family val="2"/>
      </rPr>
      <t>ბალანსზე რიცხული ავტომანქანების შესახებ</t>
    </r>
    <r>
      <rPr>
        <u val="single"/>
        <sz val="11"/>
        <color indexed="8"/>
        <rFont val="Calibri"/>
        <family val="2"/>
      </rPr>
      <t xml:space="preserve"> </t>
    </r>
    <r>
      <rPr>
        <b/>
        <u val="single"/>
        <sz val="12"/>
        <color indexed="8"/>
        <rFont val="Calibri"/>
        <family val="2"/>
      </rPr>
      <t>31.12.2017</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</si>
  <si>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u val="single"/>
        <sz val="12"/>
        <color indexed="8"/>
        <rFont val="Calibri"/>
        <family val="2"/>
      </rPr>
      <t>სსიპ საქართველოს იუსტიციის სასწავლო ცენტრის</t>
    </r>
    <r>
      <rPr>
        <b/>
        <sz val="14"/>
        <color indexed="8"/>
        <rFont val="Calibri"/>
        <family val="2"/>
      </rPr>
      <t xml:space="preserve">-ის მიერ მოხმარებული საწვავის შესახებ </t>
    </r>
    <r>
      <rPr>
        <b/>
        <u val="single"/>
        <sz val="12"/>
        <color indexed="8"/>
        <rFont val="Calibri"/>
        <family val="2"/>
      </rPr>
      <t>31.12.2017</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</si>
  <si>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u val="single"/>
        <sz val="14"/>
        <color indexed="8"/>
        <rFont val="Calibri"/>
        <family val="2"/>
      </rPr>
      <t>სსიპ საქართველოს იუსტიციის სასწავლო ცენტრის</t>
    </r>
    <r>
      <rPr>
        <b/>
        <sz val="14"/>
        <color indexed="8"/>
        <rFont val="Calibri"/>
        <family val="2"/>
      </rPr>
      <t xml:space="preserve">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31.12.2017</t>
    </r>
    <r>
      <rPr>
        <b/>
        <sz val="14"/>
        <color indexed="8"/>
        <rFont val="Calibri"/>
        <family val="2"/>
      </rPr>
      <t xml:space="preserve"> მდგომარეობით</t>
    </r>
  </si>
  <si>
    <r>
      <t xml:space="preserve">ინფორმაცია </t>
    </r>
    <r>
      <rPr>
        <b/>
        <sz val="12"/>
        <color indexed="8"/>
        <rFont val="Calibri"/>
        <family val="2"/>
      </rPr>
      <t>სსიპ საქართველოს იუსტიციის სასწავლო ცენტრ</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t>
    </r>
    <r>
      <rPr>
        <b/>
        <sz val="11"/>
        <color indexed="8"/>
        <rFont val="Calibri"/>
        <family val="2"/>
      </rPr>
      <t>31.12.2017</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</si>
  <si>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u val="single"/>
        <sz val="14"/>
        <color indexed="8"/>
        <rFont val="Calibri"/>
        <family val="2"/>
      </rPr>
      <t>სსიპ საქართველოს იუსტიციის სასწავლო ცენ</t>
    </r>
    <r>
      <rPr>
        <b/>
        <u val="single"/>
        <sz val="12"/>
        <color indexed="8"/>
        <rFont val="Calibri"/>
        <family val="2"/>
      </rPr>
      <t>ტრ</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b/>
        <u val="single"/>
        <sz val="14"/>
        <color indexed="8"/>
        <rFont val="Calibri"/>
        <family val="2"/>
      </rPr>
      <t>31.12.2017</t>
    </r>
    <r>
      <rPr>
        <b/>
        <sz val="16"/>
        <color indexed="8"/>
        <rFont val="Calibri"/>
        <family val="2"/>
      </rPr>
      <t xml:space="preserve"> </t>
    </r>
    <r>
      <rPr>
        <b/>
        <sz val="14"/>
        <color indexed="8"/>
        <rFont val="Calibri"/>
        <family val="2"/>
      </rPr>
      <t>მდგომარეობით</t>
    </r>
  </si>
  <si>
    <r>
      <t xml:space="preserve">დანართი </t>
    </r>
    <r>
      <rPr>
        <b/>
        <i/>
        <sz val="12"/>
        <color indexed="8"/>
        <rFont val="Calibri"/>
        <family val="2"/>
      </rPr>
      <t xml:space="preserve">№13 </t>
    </r>
  </si>
  <si>
    <r>
      <t xml:space="preserve">დანართი </t>
    </r>
    <r>
      <rPr>
        <b/>
        <i/>
        <sz val="12"/>
        <rFont val="Calibri"/>
        <family val="2"/>
      </rPr>
      <t>№2 (4.2.)</t>
    </r>
  </si>
  <si>
    <r>
      <t xml:space="preserve">ინფორმაცია </t>
    </r>
    <r>
      <rPr>
        <b/>
        <sz val="11"/>
        <rFont val="Calibri"/>
        <family val="2"/>
      </rPr>
      <t>სსიპ საქართველოს იუსტიციის სასწავლო ცენტრის მიერ  სახელმწიფო შესყიდვების წლიური გეგმის ფარგლებში  01.01.2018 -მდე განხორციელებული სახელმწიფო შესყიდვების შესახებ</t>
    </r>
  </si>
  <si>
    <t>მიმწოდებელი</t>
  </si>
  <si>
    <t>შესყიდვის საშუალება</t>
  </si>
  <si>
    <t xml:space="preserve">გადარიცხული თანხები </t>
  </si>
  <si>
    <t>ლარი</t>
  </si>
  <si>
    <t>აშშ დოლარი</t>
  </si>
  <si>
    <t>ევრო</t>
  </si>
  <si>
    <t>შპს მაგთიკომი</t>
  </si>
  <si>
    <t>სატელეკომუნიკაციო მომსახურება</t>
  </si>
  <si>
    <t>კონს.  ტენდერი</t>
  </si>
  <si>
    <t>შპს  ჯი-სი-თი</t>
  </si>
  <si>
    <t>სხვა მომსახურებები ლაივში სინქრონული თარგმნა 20  კაცზე</t>
  </si>
  <si>
    <t>გ.  შ.  (წარმომადგენლობითი ) კანონის მე-10' მუხლის მე-3 პუნქტის `ვ~ ქვეპუნქ</t>
  </si>
  <si>
    <t>სსიპ დაცვის პოლიციის დეპარტამენტი</t>
  </si>
  <si>
    <t>დაცვის მომსახურება ყვარლის  ფილიალში</t>
  </si>
  <si>
    <t>გ.  შ. (ექსკლუზივი)</t>
  </si>
  <si>
    <t>სს სილქნეტი</t>
  </si>
  <si>
    <t>ელ. საკომუნიკაციო მომსახურება თბილისში</t>
  </si>
  <si>
    <t>გ.  შ. ნორმატიული და  (მთავრობის განკარგულება)  წლის 26.09.2012  განკარგულების  #1805</t>
  </si>
  <si>
    <t>112 სილქნეტის</t>
  </si>
  <si>
    <t>გ. შ.  (ნორმატიული აქტით)  112 სილქნეტ</t>
  </si>
  <si>
    <t>გლობალკონტაქტ კონსალტინგი</t>
  </si>
  <si>
    <t>სატელევიზიო და რადიომომსახურებები  ყვარელში</t>
  </si>
  <si>
    <t>გ. შ.</t>
  </si>
  <si>
    <t>შპს სუპერ ტვ</t>
  </si>
  <si>
    <t>სატელევიზიო და რადიომომსახურებები 2წერტილი თბილისსი</t>
  </si>
  <si>
    <t>შპს საქართველოს ფოსტა</t>
  </si>
  <si>
    <t>საფოსტო და საკურიერო მომს  1 ვიზიტიანი</t>
  </si>
  <si>
    <t xml:space="preserve">გ.  შ.  </t>
  </si>
  <si>
    <t>ბრიტანეთის საბჭო საქართველოში</t>
  </si>
  <si>
    <t>ტესტირება 4 კომპონენტიანიშესფასებ,  1 კაცის  IELTS-ის  საერთაშორისო სასერტიფიკატო გამოცდა</t>
  </si>
  <si>
    <t>შპს კოპიპრინტ-2000</t>
  </si>
  <si>
    <t>ბეჭედი-ფაქსიმილიაბეჭდის ბალიში და რეზინი</t>
  </si>
  <si>
    <t>შპს საქართველო ჩინეთის ბიზნეს ჯგუფი  შპს Georgia China Business Group</t>
  </si>
  <si>
    <t>ერთჯერადი შამპუნები; საპონები; აბაზანის გელი</t>
  </si>
  <si>
    <t>შპს ყვარელავტოგზა</t>
  </si>
  <si>
    <t>თოვლის ხვეტის მომსახურება ყვარელში</t>
  </si>
  <si>
    <t>შპს ოფისელი</t>
  </si>
  <si>
    <t>ჭურჭლის სარეცხი FAIRY ვაშლი 900 მლ</t>
  </si>
  <si>
    <t xml:space="preserve"> საფრანგეთის საელჩო საქართველოში ( საქართველოს ფრანგული ინსტიტუტი)</t>
  </si>
  <si>
    <t>ფრანგული ენა 17 კაცზე,  თავისი წიგნებით</t>
  </si>
  <si>
    <t>გ.ე.ტ.</t>
  </si>
  <si>
    <t xml:space="preserve">შპს ოემ გრუფ </t>
  </si>
  <si>
    <t>კარტრიჯი</t>
  </si>
  <si>
    <t>შპს იუ–ჯი–თი</t>
  </si>
  <si>
    <t>1 ცალი HP-მოდელის სტანდარტული პერსონალური მაგიდის კომპიუტერი</t>
  </si>
  <si>
    <t xml:space="preserve"> 1 ლეპტოპი</t>
  </si>
  <si>
    <t>ფ/პ  გიორგი აბულაძე</t>
  </si>
  <si>
    <t xml:space="preserve"> მომსახურებები საკანალიზაციო მილების გაწმენდის სფეროში</t>
  </si>
  <si>
    <t>სს დაზღვევის საერთაშორისო კომპანია ირაო</t>
  </si>
  <si>
    <t>2017 წლის 10-21 აპრილს, საერთაშორისო ანტიკორუფციულ აკადემიას - IACA საჭიროებისათვის დაზღვევა</t>
  </si>
  <si>
    <t>ი/მ გიორგი კანდელაკი - ვესტა</t>
  </si>
  <si>
    <t xml:space="preserve">600 ცალი საბეჭდი ქაღალდი </t>
  </si>
  <si>
    <t xml:space="preserve">112                             შპს მაგთიკომის </t>
  </si>
  <si>
    <t>გ. შ.  (ნორმატიული აქტით)  112 მაგთი</t>
  </si>
  <si>
    <t>2 პრინტერი lexmark mx410</t>
  </si>
  <si>
    <t>სსიპ საქართველოს  საკანონმდებლო მაცნე</t>
  </si>
  <si>
    <t>მაცნეს  1 იუზერი მონაცემთა მომსახურება</t>
  </si>
  <si>
    <t>გ.  შ. (ნორმატიული)  საქართველოს კანონის 10' მუხლის მე-3 პუნქტის ,,ზ'' ქვეპუნქტის თანახმად</t>
  </si>
  <si>
    <t>ფ/პ   თენგიზ ბერაია</t>
  </si>
  <si>
    <t>ელექტროძრავების შეკეთება და ტექნიკური მომსახურება- სარეცხი მანქანის</t>
  </si>
  <si>
    <t>ფ/პ გიორგი ჭილაურიშვილი</t>
  </si>
  <si>
    <t>ტესტირება 4 კომპონენტიანიშესფასებ,  11 კაცის  IELTS-ის  საერთაშორისო სასერტიფიკატო გამოცდა</t>
  </si>
  <si>
    <t xml:space="preserve">შპს  ეკოკემიკა სერვის ჯგუფი  </t>
  </si>
  <si>
    <t>სარეცხი/სავლები ხსნარები -უკონტაქტო ხსნარი</t>
  </si>
  <si>
    <t>შპს კლიმატ სერვისი</t>
  </si>
  <si>
    <t>ჩილერის აგრეგატის დიაგნოსტიკა და ცართვა</t>
  </si>
  <si>
    <t>2 მონაწ. ტესტირება ფრანგ. (ირაკლი დონდოლაძე და დავით ჯანდიერი).</t>
  </si>
  <si>
    <t>შპს პისიშოპ.ჯი</t>
  </si>
  <si>
    <t>10 ფლეშკა და 3 გარე მყარი დისკი</t>
  </si>
  <si>
    <t>ს/ს ელიტ ელექტრონიქსი</t>
  </si>
  <si>
    <t>ჩაის ელექტროსახარშები</t>
  </si>
  <si>
    <r>
      <t>ფ/პ გიორგი</t>
    </r>
    <r>
      <rPr>
        <sz val="10"/>
        <rFont val="Arial"/>
        <family val="2"/>
      </rPr>
      <t xml:space="preserve"> </t>
    </r>
    <r>
      <rPr>
        <sz val="10"/>
        <rFont val="Sylfaen"/>
        <family val="1"/>
      </rPr>
      <t>სისაური</t>
    </r>
  </si>
  <si>
    <t>წიგნის ყდის გრაფიკული დიზაინი</t>
  </si>
  <si>
    <t>შპს ტოპ სტორ</t>
  </si>
  <si>
    <t>მონიტორის ეკრანი ASUS</t>
  </si>
  <si>
    <t>შპს დიო</t>
  </si>
  <si>
    <t>კოღოებისაგან დამცავი ბადეები-ჟალუზები</t>
  </si>
  <si>
    <t>შპს ავტო-ბანი 2000</t>
  </si>
  <si>
    <t xml:space="preserve"> ხაოიანი ხალიჩა-მანქანის კოვრიკები  4 კომპლექტი</t>
  </si>
  <si>
    <t>შპს პაპირუსპრინტ</t>
  </si>
  <si>
    <t>პირადი ჰიგიენის საშუალებები ტუალ. Z ხელსახოცი.</t>
  </si>
  <si>
    <t xml:space="preserve">შპს ჰორეკა სერვის გრუპი </t>
  </si>
  <si>
    <t>პირადი ჰიგიენის საშუალებები ტუალ. 3 შრიანი  ხელსახოცი.</t>
  </si>
  <si>
    <t>შპს ვია თრეველი</t>
  </si>
  <si>
    <t xml:space="preserve"> ბილეთი 1 თამარ ზუბაშვილი</t>
  </si>
  <si>
    <t>შპს თაიმსერვისი</t>
  </si>
  <si>
    <t>ტრანსპორტით მომსახურებათბილისი ყვარელი</t>
  </si>
  <si>
    <t>ი/მ  გურამ აკობია</t>
  </si>
  <si>
    <t>მიქსერის და ფრის აპარატის შეკეთება</t>
  </si>
  <si>
    <t>შპს მათი</t>
  </si>
  <si>
    <t xml:space="preserve"> სურათის ჩარჩოები</t>
  </si>
  <si>
    <t>შპს ,ოპტიმალ გრუპ+</t>
  </si>
  <si>
    <t xml:space="preserve">ყვარელში მიწის გამაგრების სამუშაოების ღირებულების საექსპერტო დასკვნა </t>
  </si>
  <si>
    <t>შპსგლობალ თრეველი</t>
  </si>
  <si>
    <t xml:space="preserve"> ბილეთი 1 -გიორგი ბაღდავაძითვის.</t>
  </si>
  <si>
    <t xml:space="preserve">ყვარელში მიწის გამაგრების სამუშაოების შეცვლილი ხარჯთაღრიცხვის საექსპერტო დასკვნა </t>
  </si>
  <si>
    <t xml:space="preserve">შპს აიდიეს ბორჯომი თბილისი </t>
  </si>
  <si>
    <t>30 000 ბოთლი სასმელი წყალი ბორჯომი</t>
  </si>
  <si>
    <t>ე.ტ.</t>
  </si>
  <si>
    <t>ფ/პ   ვლადიმერ დოვლათიანი</t>
  </si>
  <si>
    <t>გაგრილების სისტემის ფანკოილის  შეკეთება თბილისში</t>
  </si>
  <si>
    <t>შპს printer.ge</t>
  </si>
  <si>
    <t>პრეს ბანერი  270 X 270 - სარეკლამო მასალა</t>
  </si>
  <si>
    <t>შპს კაბადონი+</t>
  </si>
  <si>
    <t>22459100 - სარეკლამო მისაკრავი ეტიკეტები/სტიკერები და ზოლები</t>
  </si>
  <si>
    <t>შპს  ტერმინალ ვესტ თრეიდინგი</t>
  </si>
  <si>
    <t>საყვავილე ლარნაკები-ქოთნები</t>
  </si>
  <si>
    <t>შპს ეკოლაინი</t>
  </si>
  <si>
    <t>39813000 - სახეხი პასტები და ფხვნილები</t>
  </si>
  <si>
    <t>შპს „იუ-ჯი-თი</t>
  </si>
  <si>
    <t>30232100 - პრინტერები და პლოტერები</t>
  </si>
  <si>
    <t>30125100 - ტონერიანი კარტრიჯები</t>
  </si>
  <si>
    <t>თეგეტა მოტორსი</t>
  </si>
  <si>
    <t xml:space="preserve">ვტომანქანის შეკეთება: 1. SKODA OQTAVIA   2012 გწ;     N სახ N QQ-850-RR </t>
  </si>
  <si>
    <t>შპს სუპერი</t>
  </si>
  <si>
    <t>39298910 - საშობაო ნაძვის ხეთავისი სათამაშოებით და განათებით</t>
  </si>
  <si>
    <t>37520000 - სათამაშოები</t>
  </si>
  <si>
    <t>31531000 - ნათურები</t>
  </si>
  <si>
    <r>
      <t>შპს</t>
    </r>
    <r>
      <rPr>
        <sz val="10"/>
        <rFont val="Calibri"/>
        <family val="2"/>
      </rPr>
      <t xml:space="preserve"> </t>
    </r>
    <r>
      <rPr>
        <sz val="10"/>
        <rFont val="Sylfaen"/>
        <family val="1"/>
      </rPr>
      <t xml:space="preserve">,,ნიუ ჯი” </t>
    </r>
  </si>
  <si>
    <t xml:space="preserve">ბოსტნეული   და  ხილი  </t>
  </si>
  <si>
    <t>სსიპ საქ. საკანონმდებლო მაცნე</t>
  </si>
  <si>
    <t xml:space="preserve">მაცნეში გამოქვეყნება 14/1454 წერილის  2 გვერდი
</t>
  </si>
  <si>
    <t xml:space="preserve">გ. შ.  (ნორმატიული აქტით)  </t>
  </si>
  <si>
    <t xml:space="preserve">შპს ტრანსლიდერი </t>
  </si>
  <si>
    <t>საავტომობილო ტრანსპორტით მომსახურება სადახლო-თბილისის- სადახლო</t>
  </si>
  <si>
    <t>სულ საბიუჯეტო</t>
  </si>
  <si>
    <t>შპს კობი ჯგუფი</t>
  </si>
  <si>
    <t xml:space="preserve"> მიწის სარეაბილიტაციო სამუშაოები ყვარელში</t>
  </si>
  <si>
    <t>საკუთარი სახსრები</t>
  </si>
  <si>
    <t>შპს ჯი-თი მოტორსი</t>
  </si>
  <si>
    <t xml:space="preserve">ფორდ ფიესტა თანმდევი  საგარანტ ავტო-ტექ მომსახურება </t>
  </si>
  <si>
    <t>გ. შ. კანონის მე-10/ მუხლის მესამე პუნქტის „თ“ ქვეპუნქტის და  21.01.2011 წლის მთავრობის დადგენილება  N26</t>
  </si>
  <si>
    <t>სუზუკის LG494GL თანმდევი  საგარანტ ავტო-ტექ მომსახურება</t>
  </si>
  <si>
    <t>შპს გლობალ თრეველი</t>
  </si>
  <si>
    <t xml:space="preserve"> ბილეთი 3 ადამიანის</t>
  </si>
  <si>
    <t xml:space="preserve">შპს "ბესტ ვესტერნ თბილისი Best Western Tbilisi" </t>
  </si>
  <si>
    <t xml:space="preserve">სასტუმროს მომსახურება 3 კაცზე (ანა მაიერსი; მალიკა აიტ-მოჰამედ პარენტი; უილიამ მაიკლ ჯონსტონი) </t>
  </si>
  <si>
    <t>სს გუდვილი</t>
  </si>
  <si>
    <t>საკვები ნაკრები -ასორტი ჩირების და ჩურჩხელების</t>
  </si>
  <si>
    <t>შპს  გდ ალკო</t>
  </si>
  <si>
    <t>ღვინო ქინძმარეული და ტვიში</t>
  </si>
  <si>
    <t>შპს ბიბლუსი</t>
  </si>
  <si>
    <t>წიგნი სანიშნით</t>
  </si>
  <si>
    <t xml:space="preserve">შპს ვესტა  </t>
  </si>
  <si>
    <t xml:space="preserve"> სარეკლამო მასალა=ბრენდირებული:ჭიქა,დასადგამი,კალამი ბლოკნოტი</t>
  </si>
  <si>
    <t>ღონისძიებების ორგანიზება  ქეითერინგული მომსახურ</t>
  </si>
  <si>
    <t xml:space="preserve">შპს ნიუტონი </t>
  </si>
  <si>
    <t>ღონისძიებების ორგანიზება-ფოტოების ბჭდვა</t>
  </si>
  <si>
    <t>შპს ვერა 2005 „დემი ივენთი „</t>
  </si>
  <si>
    <t>ღონისძიებების ორგანიზება ქეითერინგული მომსახურ</t>
  </si>
  <si>
    <t>შპს FLEXMEDIA</t>
  </si>
  <si>
    <t>ღონისძიებების ორგანიზებისთვის ბანერის დამზადება მონტაჟი</t>
  </si>
  <si>
    <t>შპს SHOWTIME</t>
  </si>
  <si>
    <t>ღონისძიებების ორგანიზებისთვის ქეითერინგული მომსახურება</t>
  </si>
  <si>
    <t>ღონისძიებების ორგანიზება  პლაკატების დიზაინი ბეჭდვით</t>
  </si>
  <si>
    <t>ფ/პ მარინა კასრაძე</t>
  </si>
  <si>
    <t>ღონისძიებების ორგანიზებისთვის მუსიკალური გაფორმება</t>
  </si>
  <si>
    <t xml:space="preserve"> შპს აიფიემ კვლევები</t>
  </si>
  <si>
    <t>მედიამონიტორინგისა და საინფორმაციო მომსახურ</t>
  </si>
  <si>
    <t>ე. ტ (ერთობლივი )</t>
  </si>
  <si>
    <t xml:space="preserve">ერთობლივი </t>
  </si>
  <si>
    <t xml:space="preserve">სს სადაზღვევო კომპანია ალფა </t>
  </si>
  <si>
    <t xml:space="preserve"> 6 მანქანის დაზღვევა</t>
  </si>
  <si>
    <t>შპს დი დი ბი ჯორჯია</t>
  </si>
  <si>
    <t>79340000 - სარეკლამო და მარკეტინგული მომსახურებები</t>
  </si>
  <si>
    <t xml:space="preserve">     შპს თბილისის ბიზნეს სახლი</t>
  </si>
  <si>
    <t>თარგმნელობითი მომსახურება</t>
  </si>
  <si>
    <t>გ.ე.ტ</t>
  </si>
  <si>
    <t>10 000 ცალი სერთიფიკატის ბეჭდვა</t>
  </si>
  <si>
    <t xml:space="preserve">Geosm  </t>
  </si>
  <si>
    <t>საკანცელარიო</t>
  </si>
  <si>
    <t>სსიპ საჯარო რეესტრის ეროვნული სააგენტო</t>
  </si>
  <si>
    <t>დოკუმენტბრუნვის ელ სისტემაში ჩართვა</t>
  </si>
  <si>
    <t>გ.  შ. (მთავრობის განკარგულება)  )  განკარგულების საფუძველზე და 23.03.2012  N496</t>
  </si>
  <si>
    <t>სსიპ "სმართ ლოჯიქი" (SMART LOGIC)</t>
  </si>
  <si>
    <t>ტექნიკური კომპიუტერული უზრუნველყოფა</t>
  </si>
  <si>
    <t>გ.  შ. (მთავრობის განკარგულება)2012 წლის 14 მაისის N929 განკარგულების საფუძველზე</t>
  </si>
  <si>
    <t>ინტერნეტის მომსახურება ყვარელში</t>
  </si>
  <si>
    <t>გ.  შ. (მთავრობის განკარგულება)  წლის 26.09.2012  განკარგულების  #1805</t>
  </si>
  <si>
    <t xml:space="preserve">სსიპ “სახელმწიფო შესყიდვების სააგენტო“ </t>
  </si>
  <si>
    <t>ტენდერის გამოქვეყნების საფასური</t>
  </si>
  <si>
    <t>შპს სოს-ასისტანსი</t>
  </si>
  <si>
    <t>საავტომობილო ტრანსპორტის დამხმარე მომსახურებები ევაკუატორის</t>
  </si>
  <si>
    <t>შპს ინკო</t>
  </si>
  <si>
    <t>კარტრიჯების დატენვა HP78 A DA 85 A (50დატენვა და 150 აღდგენა)</t>
  </si>
  <si>
    <t>შპს ენგადი</t>
  </si>
  <si>
    <t>სასმელი წყალი 20 000 ბოთლი</t>
  </si>
  <si>
    <t>შპს რომპეტროლ საქართველო</t>
  </si>
  <si>
    <t>ბენზინი პრემიუმი15 000 ლ   (ოქტანობა არანაკლებ 95)</t>
  </si>
  <si>
    <t>დიზელი  Efix EURO Diesel-ის 15 000 ლ   დიზელის ევროდიზელი (არაუმეტეს 10PPM)</t>
  </si>
  <si>
    <t>შპს სი ტი პარკი</t>
  </si>
  <si>
    <r>
      <t xml:space="preserve">სითიპარკი     </t>
    </r>
    <r>
      <rPr>
        <sz val="10"/>
        <rFont val="AcadNusx"/>
        <family val="0"/>
      </rPr>
      <t xml:space="preserve">12 თვე.
 Ford Fiesta   სახ.ნომრით OO-176-GG;
 Scoda Octavia  სახ.ნომრით QQ850RR
</t>
    </r>
  </si>
  <si>
    <t>შპს ახალი ბიზნეს ჯგუფი</t>
  </si>
  <si>
    <t xml:space="preserve">ციფრული ბეჭდვა აკინძვით და მიტანით </t>
  </si>
  <si>
    <t>შპს პრიმო</t>
  </si>
  <si>
    <t>კვება 750 კაცი</t>
  </si>
  <si>
    <t>ი/მ დავითი ციხელაშვილი</t>
  </si>
  <si>
    <t xml:space="preserve">პური, ცომეული და სუნელები </t>
  </si>
  <si>
    <t xml:space="preserve">ნიკოლოზ ხაჩატურიანი </t>
  </si>
  <si>
    <t>რძის პროდუქტები</t>
  </si>
  <si>
    <t xml:space="preserve">უშანგი მოსიაშვილი </t>
  </si>
  <si>
    <t>ხორცის პროდუქტები</t>
  </si>
  <si>
    <t>ჯი თი მოტორსი</t>
  </si>
  <si>
    <t>SQQ-054 თანმდევი საგარანტიოდა არასაგარანტიო</t>
  </si>
  <si>
    <t>ზეთები</t>
  </si>
  <si>
    <t>უალკოჰოლო სასმელები</t>
  </si>
  <si>
    <t>ი/მ ნიკოლოზ ხაჩატურიანი</t>
  </si>
  <si>
    <t>კვერცხი და თაფლი</t>
  </si>
  <si>
    <t>ფქვილი</t>
  </si>
  <si>
    <t>მჟავეულობა და მურაბები</t>
  </si>
  <si>
    <t>ს/ს ტრანსსერვისი</t>
  </si>
  <si>
    <t>მანქანის Volkswagen crafter HCH-131 ტექნიკური შემოწმება</t>
  </si>
  <si>
    <t>3000 კაცზე ყავადა 2500 კვება</t>
  </si>
  <si>
    <t xml:space="preserve">შპს საქართველოს საკანონმდებლო მაცნე </t>
  </si>
  <si>
    <t>200  ნაბეჭდი წიგნი</t>
  </si>
  <si>
    <t>გ.  შ. (მთავრობის განკარგულება)  19.03.15  N598</t>
  </si>
  <si>
    <t xml:space="preserve">შპს ტისუპეიპერ  </t>
  </si>
  <si>
    <t>პირადი ჰიგიენის საშუალებები-საპონი ხელსახოცები..</t>
  </si>
  <si>
    <t xml:space="preserve">შპს ლა ბელა </t>
  </si>
  <si>
    <t>საწმენდი საპრიალებელი საქონელი- აბაზანის</t>
  </si>
  <si>
    <t xml:space="preserve">შპს ჯეოტენდი   </t>
  </si>
  <si>
    <t xml:space="preserve"> ცოცხები და ჯაგრისები და სხვა საოჯახო საწმენდი საშუალებები </t>
  </si>
  <si>
    <t>ქსოვილის ნივთები -საწმენდი  ტილოები</t>
  </si>
  <si>
    <t>ს/ს ჰიუნდაი ავტო საქართველო</t>
  </si>
  <si>
    <t>ავტო-ტექ მომსახურება HYUNDAY-H1 სახელმწიფო ნომრით AA-868-GG</t>
  </si>
  <si>
    <t>შპს მასტერ ქლინერი</t>
  </si>
  <si>
    <t xml:space="preserve">ქიმწმენდა შკოდა ოქტავიას QQ850RR ხალიჩების </t>
  </si>
  <si>
    <t>შპს წიგნის სამყარო</t>
  </si>
  <si>
    <t>12  ცალი ინგლსურის წიგნი</t>
  </si>
  <si>
    <t xml:space="preserve">კერხელის აპარატის მილი- შლანგი მტვერსასრუტის  ჩანთა                                                                          </t>
  </si>
  <si>
    <t>შპს მედი ჰელსი</t>
  </si>
  <si>
    <t>პირველადი დახმარების   2 კომპლექტი- სამედიცინო ყუთი</t>
  </si>
  <si>
    <t xml:space="preserve">4 ცალი საბურავი Suzuki S cross   LG-494-GL  </t>
  </si>
  <si>
    <t>შპს გუკა</t>
  </si>
  <si>
    <t>2 ერთეული გათბობის საქვაბის ობიექტისთვის, გვესაჭიროება ატმოსფერული ჰაერის დაბინძურების სტაციონარული და მათ მიერ ატმოსფერული ჰაერში მავნე ნივთიერებათა გაფრქვევის ინვენტარიზაციის ტექნიკური ანგარიშის შედგენა</t>
  </si>
  <si>
    <t xml:space="preserve">გ.  შ. </t>
  </si>
  <si>
    <t xml:space="preserve"> ფორდი SQQ-054 არათანმდევი საგარანტიოდა  დათოს</t>
  </si>
  <si>
    <t>შპს FlexSecure</t>
  </si>
  <si>
    <t>საკეტები, გასაღებები და ანჯამები</t>
  </si>
  <si>
    <t>ს/ს საქართველოს ბანკი</t>
  </si>
  <si>
    <t>საბანკო და საინვესტიციო მომსახურებები</t>
  </si>
  <si>
    <t>შპს მოზაიკა</t>
  </si>
  <si>
    <t>30  მაისური</t>
  </si>
  <si>
    <t>ფ/პ გიორგი ბარიშვილი</t>
  </si>
  <si>
    <t>აუდიტორული მომსახურება- ფინანს. აუდიტი</t>
  </si>
  <si>
    <t xml:space="preserve">შპს მაქსსერვისი  </t>
  </si>
  <si>
    <r>
      <t xml:space="preserve">2 ავტომანქანის შეკეთება: 1. </t>
    </r>
    <r>
      <rPr>
        <sz val="10"/>
        <rFont val="Academiuri Mt"/>
        <family val="1"/>
      </rPr>
      <t xml:space="preserve">SKODA OQTAVIA   2012 გწ;     N ახ N QQ-850-RR   2 .VOLKSWAGEN CRAFTER  -2012 გწ;      სახ N  HCH-131  </t>
    </r>
  </si>
  <si>
    <t>გ.ე.ტ პრეისკურ</t>
  </si>
  <si>
    <t>პრეისკურანტით</t>
  </si>
  <si>
    <t>საქ პატენტი ერთიანი ანგარიში; სსიპ; სსიპ - ინტელექტუალური საკუთრების ეროვნული ცენტრი -,,საქპატენტი"</t>
  </si>
  <si>
    <t>სასაქონლო ნიშნის რეგისტრაცია, მოწმობის გაცემა და 10 წლის ძალის შენარჩუნება</t>
  </si>
  <si>
    <t>გ.  შ. ნორმატიული და (მთავრობის განკარგულება)  წლის 26.09.2012  განკარგულების  #1805</t>
  </si>
  <si>
    <t xml:space="preserve">მზა და დაკონსერვებული თევზი </t>
  </si>
  <si>
    <t>შპს  არტ ავენიუ</t>
  </si>
  <si>
    <t>50  მაისური  პროექტის "იმოქმედე" ფარგლებში</t>
  </si>
  <si>
    <t>შპს  MAIKA.GE</t>
  </si>
  <si>
    <t>45  მაისური პროექტის "საქართველოს იუსტიციის სასწაცლო ცენტრის საზაფხულო სკოლის" ფარგლებში</t>
  </si>
  <si>
    <t>შპს  თრიფექსი</t>
  </si>
  <si>
    <t>„აღადგინე ბორჯომის ხეობა“ დარგოს 100 ხე მომდევნო 5 წლიანი მოვლის პირობით, ამასთანავე მომაზადოს ტერიტორია დასარგავად შემოღოვბითა და გაწმენდითი სამუშაოებით.</t>
  </si>
  <si>
    <t>4 ცალი ზაფხულის საბურავი Scoda Octavia  QQ850RR R16 205/55,   ლაშასი</t>
  </si>
  <si>
    <t xml:space="preserve"> 1 ლეპტოპ</t>
  </si>
  <si>
    <t>შპს  სპეციალური დეზინფექციის სამსახური</t>
  </si>
  <si>
    <t xml:space="preserve"> დეზინფექციასა და დეზინსექციასთან დაკავშირებული მომსახურებები -დეზინსექცია,დერატიზაცია</t>
  </si>
  <si>
    <t xml:space="preserve">შსს სსიპ - საგანგებო სიტუაციების მართვის სააგენტო </t>
  </si>
  <si>
    <t xml:space="preserve">შენობა-ნაგებობის საევაკუაციო გეგმის შემუშავება </t>
  </si>
  <si>
    <t xml:space="preserve">გ.  შ. ნორმატიული და (საქ. მთავრობის განკარგულება)  24.03.2016    №138 </t>
  </si>
  <si>
    <t>შპს ოემ გრუფ</t>
  </si>
  <si>
    <t>20 კარტრიჯის დატენვა დამუხტვა  lemark 15 შავთეთრი+4ფერადი და 1 ბარაბანი</t>
  </si>
  <si>
    <t xml:space="preserve">შპს სქაიქლინერს </t>
  </si>
  <si>
    <t>ზედამხედველობა შენობის მოწყობილობების შეკეთება,  ტექნიკური და საზედამხედველო   მომსახურებ</t>
  </si>
  <si>
    <t>შპს მაქსიმალური ენერგია</t>
  </si>
  <si>
    <t>1 ცალი ტყვიამჟავური აკუმულატორი</t>
  </si>
  <si>
    <t>შპს თამარი ტური</t>
  </si>
  <si>
    <t xml:space="preserve">საავტომობილო ტრანსპორტის მომსახურებები პროექტის ,,საზაფხულო სკოლა"ფარგლებში </t>
  </si>
  <si>
    <t>გ.ე.ტ პროექტის ფარგლებში</t>
  </si>
  <si>
    <t>ტესტირება 4 კომპონენტიანიშესფასებ,  6 კაცის  APTIS-ის საერთაშორისო სასერტიფიკატო გამოცდა პროკურორებისათვის</t>
  </si>
  <si>
    <t>ინდ/მეწარმე
მაკა ორაგველიძე</t>
  </si>
  <si>
    <t>60  ინგლისურის წინი</t>
  </si>
  <si>
    <t>250+250 ნაბეჭდი წიგნი</t>
  </si>
  <si>
    <t xml:space="preserve">3000 კაცზე ყავა და 2400 კვება </t>
  </si>
  <si>
    <t>შპს  ნიუტონი</t>
  </si>
  <si>
    <t>ბრენდირებული მასალა</t>
  </si>
  <si>
    <t>ფ/პ დავით ქარენაშვილი</t>
  </si>
  <si>
    <t xml:space="preserve">76537000 - ჭაბურღილის მოწყობილობების ტექნიკური მომსახურება </t>
  </si>
  <si>
    <t>შპს ნექსტ+</t>
  </si>
  <si>
    <t>3 ტომარა ამონიუმის გვარჯილა</t>
  </si>
  <si>
    <r>
      <t xml:space="preserve">ტესტირება 4 კომპონენტიანი შესფასებ, </t>
    </r>
    <r>
      <rPr>
        <sz val="9"/>
        <rFont val="Tahoma"/>
        <family val="2"/>
      </rPr>
      <t xml:space="preserve"> 15 კაცის  APTIS-ის </t>
    </r>
    <r>
      <rPr>
        <sz val="9"/>
        <rFont val="AcadNusx"/>
        <family val="0"/>
      </rPr>
      <t>საერთაშორისო სასერტიფიკატო გამოცდა მოსამართლეობის მსურველის</t>
    </r>
  </si>
  <si>
    <t>პირადი ჰიგიენის საშუალებები-საპონი ხელსახოცები,ტუალ. ქაღალდ..</t>
  </si>
  <si>
    <t>გამომცემლობა Kogan Page</t>
  </si>
  <si>
    <r>
      <t xml:space="preserve">პატენტსა და საავტორო უფლებებთან დაკავშირებული საკონსულტაციო მომსახურებები </t>
    </r>
    <r>
      <rPr>
        <sz val="9"/>
        <rFont val="Sylfaen"/>
        <family val="1"/>
      </rPr>
      <t xml:space="preserve">,,,მედიისთვის ინტერვიუს მიცემის მეთოდები“რობერტ ტეილორის წიგნზე “Media nterview techniques : A complete guide to media training”                        (Kogan Page  
 კანონიერი მფლობელია გამომცემლობა Kogan Page. </t>
    </r>
  </si>
  <si>
    <t xml:space="preserve">შპს ტრინოქსი </t>
  </si>
  <si>
    <t>2 ელექტრო ღუმელი (საცხობი); 1 მაგიდა-მაცივარი და 1 კარადა-მაცივარი</t>
  </si>
  <si>
    <t>გ.ე.ტ (მთავრობის განკარგულებით  N1520.    21,07,17)</t>
  </si>
  <si>
    <r>
      <t>ქიმწმენდა H</t>
    </r>
    <r>
      <rPr>
        <sz val="9"/>
        <rFont val="Tahoma"/>
        <family val="2"/>
      </rPr>
      <t>YUNDAI H-1,   AA-868-GG,</t>
    </r>
  </si>
  <si>
    <t xml:space="preserve"> საფრანგეთის საელჩო საქართველოში (საქართველოს ფრანგული ინსტიტუტი)</t>
  </si>
  <si>
    <t>შპს ალდა</t>
  </si>
  <si>
    <t>2 აკუმულატორი</t>
  </si>
  <si>
    <r>
      <t xml:space="preserve">ქიმწმენდა </t>
    </r>
    <r>
      <rPr>
        <sz val="9"/>
        <rFont val="Tahoma"/>
        <family val="2"/>
      </rPr>
      <t>lg-494-gl</t>
    </r>
  </si>
  <si>
    <t>შპს ქერვან ამბალაჟ მათბააჯილიქ სანაი ვე თიჯარეთის წარმომადგენლობა საქართველოში</t>
  </si>
  <si>
    <t>1200 ფლოსტები</t>
  </si>
  <si>
    <t>შპს სითი ქლინინგი</t>
  </si>
  <si>
    <t xml:space="preserve">ნაგვის ტომარა 1000 ცალი                                                             </t>
  </si>
  <si>
    <r>
      <t xml:space="preserve">სითიპარკი   </t>
    </r>
    <r>
      <rPr>
        <sz val="10"/>
        <rFont val="AcadNusx"/>
        <family val="0"/>
      </rPr>
      <t xml:space="preserve">12 თვე.                                           1. </t>
    </r>
    <r>
      <rPr>
        <sz val="10"/>
        <rFont val="Academy-Bold"/>
        <family val="0"/>
      </rPr>
      <t xml:space="preserve">Ford fiesta სახ. ნომრით SQQ-054
2. Hyundai H1 სახ. ნომრით  AA-868-GG
3. Wolksvagen crafter სახ. ნომრით HCH-131
4. Suzuki s cross სახ. ნომრით LG-494-GL
</t>
    </r>
    <r>
      <rPr>
        <sz val="10"/>
        <rFont val="AcadNusx"/>
        <family val="0"/>
      </rPr>
      <t xml:space="preserve">
 F
</t>
    </r>
  </si>
  <si>
    <t xml:space="preserve">შპს ისო კონსალტინგ  </t>
  </si>
  <si>
    <r>
      <rPr>
        <sz val="10"/>
        <rFont val="Stencil"/>
        <family val="5"/>
      </rPr>
      <t xml:space="preserve">ISO </t>
    </r>
    <r>
      <rPr>
        <sz val="10"/>
        <rFont val="AcadNusx"/>
        <family val="0"/>
      </rPr>
      <t>სერთიფიკატი</t>
    </r>
  </si>
  <si>
    <t>ე.ტ</t>
  </si>
  <si>
    <t>ფ/პ   ირაკლი აბრამიშვილი</t>
  </si>
  <si>
    <t>შლაგბაუმის შეკეთება</t>
  </si>
  <si>
    <t>შპს ტექ</t>
  </si>
  <si>
    <t>42123400 - ჰაერის კომპრესორები</t>
  </si>
  <si>
    <t>სსიპ - საქართველოს ეროვნული არქივი</t>
  </si>
  <si>
    <t>სატრენინგო მომსახ</t>
  </si>
  <si>
    <t>გ. შ. კანონის მე-10/ მუხლის მესამე პუნქტის „ზ“ ქვეპუნქტის ნორმატ</t>
  </si>
  <si>
    <t>მეორე წიგნის ,,მედიისთვის ინტერვიუს მიცემის მეთოდების“ ბეჭდვა და ადგილზე მიწოდება 1000 ცალი</t>
  </si>
  <si>
    <t>ინგლისურის 13 წიგნი</t>
  </si>
  <si>
    <t>შპს გარდენია</t>
  </si>
  <si>
    <t>03450000 - სანერგე მეურნეობის პროდუქცია</t>
  </si>
  <si>
    <t xml:space="preserve">ზამთრის საბურავები R15x195x60  ფორდ ფიესტა OO-176-GG და SQQ-054. </t>
  </si>
  <si>
    <t xml:space="preserve">შპს ჩოფ შოფ </t>
  </si>
  <si>
    <t>ხორცეული-ხბოს ხორცი</t>
  </si>
  <si>
    <t>საავტომობილო ტრანსპორტით მომსახურება თბილისიყვარელი-თბილისი</t>
  </si>
  <si>
    <t>ფ/პ   დავით ქარენაშვილი</t>
  </si>
  <si>
    <t>2 სარეცხი მანქანის შეკეთება</t>
  </si>
  <si>
    <t>სსიპ ”აკრედიტაციის ერთიანი ეროვნული ორგანო - აკრედიტაციის ცენტრი“</t>
  </si>
  <si>
    <t>უძრავი ნივთის საკადასტრო/აზომვითი სამუშაოების შესრულებაზე უფლებამოსილ  მომსახურებები კვლევისა და ექსპერიმენტული  განვითარების სფეროში (სერტ.მოწმობის ნომერი GAC-PC-0006).5.09.16დან5.09. 2020მდე</t>
  </si>
  <si>
    <t>ი/მ ავთანდილ ფაჩხატაშვილი</t>
  </si>
  <si>
    <t>HP პრინტერის შეკეთება</t>
  </si>
  <si>
    <t>ზამთრის საბურავები კრაფტერი სახელმწიფო ნომრით HCH-131, 4 ცალი  (195/75 R16C)</t>
  </si>
  <si>
    <t xml:space="preserve">შპს „თავისუფალი უნივერსიტეტი“, </t>
  </si>
  <si>
    <t>2  მონაწილეობა 16-17.12.17 კონფერენციაში სატრენინგო</t>
  </si>
  <si>
    <t>შპს თოი თრეველ ჯორჯია</t>
  </si>
  <si>
    <t xml:space="preserve"> ბილეთი 2 ცალი 1. გივი ბაღდავაძე და 2. გიორგი მიქავა ადამიანის თბილისი- სტრასბურგი</t>
  </si>
  <si>
    <t xml:space="preserve">სსიპ საქართველოს ეროვნული მუზეუმი   </t>
  </si>
  <si>
    <t>მუზეუმების მომსახურებები სიმონ ჯანაშიას სახ საქ მუზეუმი</t>
  </si>
  <si>
    <t>საკუთარი სულ:</t>
  </si>
  <si>
    <t>ბენზინი პრემიუმი797.30 ლ   (ოქტანობა არანაკლებ 95)</t>
  </si>
  <si>
    <t>"გერმანიის საერთაშორისო თანამშრომლობის საზოგადოებას" (GIZ) გრანტი</t>
  </si>
  <si>
    <t>ფინანსთა სამინისტროში დარეგისტრირებულია   №1369; 17.05.2017</t>
  </si>
  <si>
    <t>დიზელი  Efix EURO Diesel-ის 489.51 ლ   დიზელის ევროდიზელი (არაუმეტეს 10PPM)</t>
  </si>
  <si>
    <t xml:space="preserve"> შპს უსაფრთხო კვება </t>
  </si>
  <si>
    <t xml:space="preserve">კვებით მომსახურება1048 კაცზე ( 5 ყავა და 8 ლანჩი)  </t>
  </si>
  <si>
    <t>შპს კომპანია GEOSEM</t>
  </si>
  <si>
    <t xml:space="preserve">30192000 - საკანცელარიო ნივთები
</t>
  </si>
  <si>
    <t>გ.შ</t>
  </si>
  <si>
    <t>შპს თრეველლაბი</t>
  </si>
  <si>
    <t xml:space="preserve">ავიაბილეთი - ჰანს-ვოლფგანგ მიკლიცისთვის </t>
  </si>
  <si>
    <t>ფინანსთა სამინისტროში დარეგისტრირებულია   №1450; 20.10.2017</t>
  </si>
  <si>
    <t>ღონისძიებების ორგანიზება</t>
  </si>
  <si>
    <t>შპს კონფერენს სისთემ</t>
  </si>
  <si>
    <t>თარჯიმანის ანაზღაურება</t>
  </si>
  <si>
    <t>თარგმანის აპარატურა 3 დღე (ტრენინგის მეორე ეტაპი)</t>
  </si>
  <si>
    <t>შპს  აჭარა+ სასტუმრო ,,ჰოლიდეი ინნ“.</t>
  </si>
  <si>
    <t>უცხოელი ექპერტის სასტუმროში ღამისთევის ხარჯი</t>
  </si>
  <si>
    <t>ბენზინი პრემიუმი 260 ლიტ   (ოქტანობა არანაკლებ 95)</t>
  </si>
  <si>
    <t>ფინანსთა სამინისტროში დარეგისტრირებულია   №1464; 20.11.2017</t>
  </si>
  <si>
    <t>დიზელი  Efix EURO Diesel-ის 182 ლიტ   დიზელის ევროდიზელი (არაუმეტეს 10PPM)</t>
  </si>
  <si>
    <t xml:space="preserve">700 ც  ბლოკნოტი
</t>
  </si>
  <si>
    <t>გრანტი</t>
  </si>
  <si>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</si>
  <si>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t>შენიშვნა **: დანართი ქვეყნდება კვარტალურად, კვარტლის დასრულებიდან 1 თვის განმავლობაში.</t>
  </si>
  <si>
    <r>
      <t xml:space="preserve">დანართი </t>
    </r>
    <r>
      <rPr>
        <b/>
        <i/>
        <sz val="12"/>
        <color indexed="8"/>
        <rFont val="Calibri"/>
        <family val="2"/>
      </rPr>
      <t>№1 (4.1.)</t>
    </r>
  </si>
  <si>
    <t>ძირითადი CPV</t>
  </si>
  <si>
    <t>სავარაუდო ღირებულება</t>
  </si>
  <si>
    <t>კვარტლები</t>
  </si>
  <si>
    <t>ერთწლიანი/ მრავალწლიანი</t>
  </si>
  <si>
    <t>შესყიდვის საფუძველი</t>
  </si>
  <si>
    <t>ორეტაპიანი</t>
  </si>
  <si>
    <t>ალტერნატიული</t>
  </si>
  <si>
    <t>ერთობლივი</t>
  </si>
  <si>
    <t>03200000</t>
  </si>
  <si>
    <t>გამ. შესყიდვა</t>
  </si>
  <si>
    <t>IV</t>
  </si>
  <si>
    <t>ზღვრების შესაბამისად</t>
  </si>
  <si>
    <t>სახელმწიფო ბიუჯეტი</t>
  </si>
  <si>
    <t>.</t>
  </si>
  <si>
    <t>კონს. შესყიდვა</t>
  </si>
  <si>
    <t>I, II</t>
  </si>
  <si>
    <t>CON170000039  მრავალფუნქციური პრინტერების კარტრიჯები</t>
  </si>
  <si>
    <t>I, II, III, IV</t>
  </si>
  <si>
    <t>II, III, IV</t>
  </si>
  <si>
    <t>CON170000039  პრინტერები</t>
  </si>
  <si>
    <t>მაგიდის კომპიუტერი 1 ცალი CON160000056</t>
  </si>
  <si>
    <t>1 ლეპტოპი CON170000015</t>
  </si>
  <si>
    <t>III, IV</t>
  </si>
  <si>
    <t>ელ. ტენდერი</t>
  </si>
  <si>
    <t>წარმოამდგენლობითი ხარჯები</t>
  </si>
  <si>
    <t>ნორმატიული აქტით დადგენილი გადასახდელები</t>
  </si>
  <si>
    <t>მიწის გამაგრების სამუშაოებზე საექსპერტო დასკვნა ღირებულებაზე და კორექტირებულის  ექსპერტიზა</t>
  </si>
  <si>
    <t>I</t>
  </si>
  <si>
    <t>ექსკლუზივი</t>
  </si>
  <si>
    <t>გამ. ელ. ტენდერი</t>
  </si>
  <si>
    <t>ბიუჯეტი   სულ:</t>
  </si>
  <si>
    <t>03100000</t>
  </si>
  <si>
    <t>..</t>
  </si>
  <si>
    <t>03400000</t>
  </si>
  <si>
    <t>09100000</t>
  </si>
  <si>
    <t>CON160000059</t>
  </si>
  <si>
    <t xml:space="preserve">CON160000057 </t>
  </si>
  <si>
    <t>პროექტის "საქართველოს იუსტიციის სასწაცლო ცენტრის საზაფხულო სკოლის" ფარგლებში</t>
  </si>
  <si>
    <t>სახელმწიფოებრივი და საზოგადოებრივი მნიშვნელობის ღონისძიება</t>
  </si>
  <si>
    <t>მაცნე (მთავრობის განკარგულება)  19.03.15  N598</t>
  </si>
  <si>
    <t>CON170000015</t>
  </si>
  <si>
    <t>მაგიდის კომპიუტერი CON160000056</t>
  </si>
  <si>
    <t>CON170000062</t>
  </si>
  <si>
    <t>CON170000011 4  საბურავი საზაფხულო</t>
  </si>
  <si>
    <t>CON170000018   4 საბურავი Suzuki S cross   LG-494-GL</t>
  </si>
  <si>
    <t>2 ელექტრო ღუმელი (საცხობი); 1 მაგიდა-მაცივარი და 1 კარადა-მაცივარი (მთავრობის განკარგულებით  N1520.    21,07,17)</t>
  </si>
  <si>
    <t>გახდა მრავალწლიანია
2016 ----  67822.79   ლარი და
2017 ----   15332.79  ლარი</t>
  </si>
  <si>
    <t>განსაზღვრული წლოვანების ავტოსატრანსპორტო საშუალებები</t>
  </si>
  <si>
    <t>მრავალწლიანის</t>
  </si>
  <si>
    <t>პროექტის "საქართველოს იუსტიციის სასწაცლო ცენტრის საზაფხულო სკოლის" ფარგლებში.</t>
  </si>
  <si>
    <t>ერთობლივი ელ ტენდერი</t>
  </si>
  <si>
    <t>საქ პატენტის საფასური</t>
  </si>
  <si>
    <t>ერთობლივი ელ ტენდერი. შევამ</t>
  </si>
  <si>
    <t>წარმომადგ.</t>
  </si>
  <si>
    <t>გრანტი/კრედიტი</t>
  </si>
  <si>
    <t>III  საგრანტო ხელშეკრულება №83272034."გერმანიის საერთაშორისო თანამშრომლობის საზოგადოებას" (GIZ) 
დიზელი</t>
  </si>
  <si>
    <t>III გრანტი №83272034  "გერმანიის საერთაშორისო თანამშრომლობის საზოგადოებას" (GIZ)  &lt;br /&gt;
ბენზინი</t>
  </si>
  <si>
    <t>გრანტი №83256447  ,,გერმანიის საერთაშორისო თანამშრომლობის საზოგადოება" (GIZ) ბენზინი.</t>
  </si>
  <si>
    <t>გრანტი №83256447 - გერმანიის საერთაშორისო თანამშრომლობის საზოგადოება" (GIZ) დიზელი.</t>
  </si>
  <si>
    <t>II მეორე გრანტის ფარგლებში გერმანიის საერთაშორისო თანამშრომლობის საზოგადოებას" (GIZ)  №83269536.</t>
  </si>
  <si>
    <t>III გრანტი №83272034  "გერმანიის საერთაშორისო თანამშრომლობის საზოგადოებას"</t>
  </si>
  <si>
    <t>გრანტი- გერმანიის საერთაშორისო თანამშრომლობის საზოგადოება" (GIZ)</t>
  </si>
  <si>
    <t>გრანტი- გერმანიის საერთაშორისო თანამშრომლობის საზოგადოება" (GIZ).</t>
  </si>
  <si>
    <t>III გრანტი №83272034  "გერმანიის საერთაშორისო თანამშრომლობის საზოგადოებას" (GIZ)</t>
  </si>
  <si>
    <t>II მეორე გრანტის ფარგლებში გერმანიის საერთაშორისო თანამშრომლობის საზოგადოებას" (GIZ)  №83269536</t>
  </si>
  <si>
    <t>III გრანტი №83272034  "გერმანიის საერთაშორისო თანამშრომლობის საზოგადოებას" -(GIZ)</t>
  </si>
  <si>
    <t>გრანტი   სულ:</t>
  </si>
  <si>
    <t>ერთად სულ:</t>
  </si>
  <si>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</si>
  <si>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t>სსიპ საქართველოს იუსტიციის სასწავლო ცენტრის სახელმწიფო შესყიდვების წლიური გეგმა</t>
    </r>
    <r>
      <rPr>
        <sz val="10"/>
        <color indexed="8"/>
        <rFont val="Calibri"/>
        <family val="2"/>
      </rPr>
      <t xml:space="preserve"> </t>
    </r>
    <r>
      <rPr>
        <b/>
        <sz val="10"/>
        <rFont val="Calibri"/>
        <family val="2"/>
      </rPr>
      <t>01.01.2018 წლის</t>
    </r>
    <r>
      <rPr>
        <sz val="10"/>
        <rFont val="Calibri"/>
        <family val="2"/>
      </rPr>
      <t xml:space="preserve"> </t>
    </r>
    <r>
      <rPr>
        <b/>
        <sz val="10"/>
        <color indexed="8"/>
        <rFont val="Calibri"/>
        <family val="2"/>
      </rPr>
      <t>მდგომარეობით</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</si>
</sst>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0.00;[Red]0.00"/>
    <numFmt numFmtId="188" formatCode="0.0;[Red]0.0"/>
    <numFmt numFmtId="189" formatCode="_-* #,##0.00_р_._-;\-* #,##0.00_р_._-;_-* &quot;-&quot;??_р_._-;_-@_-"/>
    <numFmt numFmtId="190" formatCode="_(* #,##0.0000_);_(* \(#,##0.0000\);_(* &quot;-&quot;??_);_(@_)"/>
    <numFmt numFmtId="191" formatCode="_(* #,##0.00000_);_(* \(#,##0.00000\);_(* &quot;-&quot;??_);_(@_)"/>
    <numFmt numFmtId="192" formatCode="_(* #,##0.000000_);_(* \(#,##0.000000\);_(* &quot;-&quot;??_);_(@_)"/>
    <numFmt numFmtId="193" formatCode="[$-10409]#,##0.00"/>
  </numFmts>
  <fonts count="88">
    <font>
      <sz val="11"/>
      <color theme="1"/>
      <name val="Calibri"/>
      <family val="2"/>
    </font>
    <font>
      <sz val="11"/>
      <color indexed="8"/>
      <name val="Calibri"/>
      <family val="2"/>
    </font>
    <font>
      <b/>
      <sz val="8"/>
      <name val="Sylfaen"/>
      <family val="1"/>
    </font>
    <font>
      <b/>
      <sz val="10"/>
      <name val="Sylfaen"/>
      <family val="1"/>
    </font>
    <font>
      <b/>
      <sz val="11"/>
      <color indexed="8"/>
      <name val="Calibri"/>
      <family val="2"/>
    </font>
    <font>
      <sz val="10"/>
      <color indexed="8"/>
      <name val="Calibri"/>
      <family val="2"/>
    </font>
    <font>
      <b/>
      <sz val="10"/>
      <color indexed="8"/>
      <name val="Calibri"/>
      <family val="2"/>
    </font>
    <font>
      <b/>
      <sz val="14"/>
      <color indexed="8"/>
      <name val="Calibri"/>
      <family val="2"/>
    </font>
    <font>
      <u val="single"/>
      <sz val="11"/>
      <color indexed="8"/>
      <name val="Calibri"/>
      <family val="2"/>
    </font>
    <font>
      <u val="single"/>
      <sz val="14"/>
      <color indexed="8"/>
      <name val="Calibri"/>
      <family val="2"/>
    </font>
    <font>
      <sz val="10"/>
      <name val="LitNusx"/>
      <family val="2"/>
    </font>
    <font>
      <sz val="10"/>
      <name val="Arial"/>
      <family val="2"/>
    </font>
    <font>
      <sz val="10"/>
      <name val="Sylfaen"/>
      <family val="1"/>
    </font>
    <font>
      <b/>
      <i/>
      <sz val="12"/>
      <color indexed="8"/>
      <name val="Calibri"/>
      <family val="2"/>
    </font>
    <font>
      <b/>
      <sz val="8"/>
      <color indexed="8"/>
      <name val="Calibri"/>
      <family val="2"/>
    </font>
    <font>
      <b/>
      <i/>
      <sz val="12"/>
      <name val="Calibri"/>
      <family val="2"/>
    </font>
    <font>
      <b/>
      <sz val="14"/>
      <name val="Sylfaen"/>
      <family val="1"/>
    </font>
    <font>
      <u val="single"/>
      <sz val="11"/>
      <name val="Sylfaen"/>
      <family val="1"/>
    </font>
    <font>
      <b/>
      <i/>
      <sz val="10"/>
      <name val="Sylfaen"/>
      <family val="1"/>
    </font>
    <font>
      <i/>
      <sz val="10"/>
      <name val="Sylfaen"/>
      <family val="1"/>
    </font>
    <font>
      <b/>
      <sz val="12"/>
      <color indexed="8"/>
      <name val="Calibri"/>
      <family val="2"/>
    </font>
    <font>
      <sz val="10"/>
      <name val="Calibri"/>
      <family val="2"/>
    </font>
    <font>
      <b/>
      <sz val="10"/>
      <name val="Calibri"/>
      <family val="2"/>
    </font>
    <font>
      <b/>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sz val="9"/>
      <color indexed="8"/>
      <name val="Calibri"/>
      <family val="2"/>
    </font>
    <font>
      <sz val="9"/>
      <color indexed="8"/>
      <name val="არიალ"/>
      <family val="0"/>
    </font>
    <font>
      <b/>
      <u val="single"/>
      <sz val="14"/>
      <color indexed="8"/>
      <name val="Calibri"/>
      <family val="2"/>
    </font>
    <font>
      <b/>
      <sz val="16"/>
      <color indexed="8"/>
      <name val="Calibri"/>
      <family val="2"/>
    </font>
    <font>
      <b/>
      <sz val="11"/>
      <name val="Calibri"/>
      <family val="2"/>
    </font>
    <font>
      <sz val="9"/>
      <name val="Arial"/>
      <family val="2"/>
    </font>
    <font>
      <sz val="10"/>
      <name val="AcadNusx"/>
      <family val="0"/>
    </font>
    <font>
      <sz val="9"/>
      <name val="Sylfaen"/>
      <family val="1"/>
    </font>
    <font>
      <sz val="10"/>
      <name val="DejaVu Sans"/>
      <family val="2"/>
    </font>
    <font>
      <sz val="10"/>
      <name val="AachenDEEMed"/>
      <family val="0"/>
    </font>
    <font>
      <b/>
      <sz val="10"/>
      <name val="Arial"/>
      <family val="2"/>
    </font>
    <font>
      <sz val="10"/>
      <name val="Academiuri Mt"/>
      <family val="1"/>
    </font>
    <font>
      <sz val="10"/>
      <name val="Abadi MT Condensed Light"/>
      <family val="2"/>
    </font>
    <font>
      <sz val="9"/>
      <name val="AcadNusx"/>
      <family val="0"/>
    </font>
    <font>
      <sz val="9"/>
      <name val="Tahoma"/>
      <family val="2"/>
    </font>
    <font>
      <sz val="10"/>
      <name val="Academy-Bold"/>
      <family val="0"/>
    </font>
    <font>
      <sz val="10"/>
      <name val="Stencil"/>
      <family val="5"/>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1"/>
      <name val="არიალ"/>
      <family val="0"/>
    </font>
    <font>
      <b/>
      <i/>
      <sz val="12"/>
      <color theme="1"/>
      <name val="Calibri"/>
      <family val="2"/>
    </font>
    <font>
      <b/>
      <sz val="8"/>
      <color theme="1"/>
      <name val="Calibri"/>
      <family val="2"/>
    </font>
    <font>
      <sz val="9"/>
      <color theme="1"/>
      <name val="Calibri"/>
      <family val="2"/>
    </font>
    <font>
      <sz val="9"/>
      <color theme="1"/>
      <name val="არიალ"/>
      <family val="0"/>
    </font>
    <font>
      <b/>
      <sz val="14"/>
      <color theme="1"/>
      <name val="Calibri"/>
      <family val="2"/>
    </font>
    <font>
      <b/>
      <sz val="12"/>
      <color theme="1"/>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thin"/>
      <right style="thin"/>
      <top style="thin"/>
      <bottom style="medium"/>
    </border>
    <border>
      <left>
        <color indexed="63"/>
      </left>
      <right style="thin"/>
      <top style="thin"/>
      <bottom style="medium"/>
    </border>
    <border>
      <left style="medium"/>
      <right style="thin"/>
      <top style="thin"/>
      <bottom>
        <color indexed="63"/>
      </bottom>
    </border>
    <border>
      <left style="medium"/>
      <right style="medium"/>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189"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55">
    <xf numFmtId="0" fontId="0" fillId="0" borderId="0" xfId="0" applyFont="1" applyAlignment="1">
      <alignment/>
    </xf>
    <xf numFmtId="0" fontId="78" fillId="0" borderId="0" xfId="0" applyFont="1" applyFill="1" applyAlignment="1" applyProtection="1">
      <alignment/>
      <protection/>
    </xf>
    <xf numFmtId="0" fontId="79" fillId="33" borderId="10"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0" fillId="0" borderId="0" xfId="0" applyAlignment="1">
      <alignment wrapText="1"/>
    </xf>
    <xf numFmtId="0" fontId="76" fillId="33" borderId="0" xfId="0" applyFont="1" applyFill="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179" fontId="80" fillId="0" borderId="13" xfId="42" applyNumberFormat="1" applyFont="1" applyBorder="1" applyAlignment="1">
      <alignment horizontal="center" wrapText="1"/>
    </xf>
    <xf numFmtId="179" fontId="80" fillId="0" borderId="14" xfId="42" applyNumberFormat="1" applyFont="1" applyBorder="1" applyAlignment="1">
      <alignment horizontal="center" wrapText="1"/>
    </xf>
    <xf numFmtId="0" fontId="78" fillId="0" borderId="0" xfId="0" applyFont="1" applyFill="1" applyAlignment="1">
      <alignment/>
    </xf>
    <xf numFmtId="0" fontId="78" fillId="0" borderId="0" xfId="0" applyFont="1" applyAlignment="1">
      <alignment wrapText="1"/>
    </xf>
    <xf numFmtId="0" fontId="79" fillId="33" borderId="0" xfId="0" applyFont="1" applyFill="1" applyAlignment="1">
      <alignment wrapText="1"/>
    </xf>
    <xf numFmtId="0" fontId="78" fillId="33" borderId="0" xfId="0" applyFont="1" applyFill="1" applyAlignment="1">
      <alignment wrapText="1"/>
    </xf>
    <xf numFmtId="0" fontId="78" fillId="0" borderId="12" xfId="0" applyFont="1" applyBorder="1" applyAlignment="1">
      <alignment horizontal="left" vertical="center" wrapText="1"/>
    </xf>
    <xf numFmtId="0" fontId="79" fillId="33" borderId="15" xfId="0" applyFont="1" applyFill="1" applyBorder="1" applyAlignment="1">
      <alignment horizontal="left" vertical="center" wrapText="1" indent="2"/>
    </xf>
    <xf numFmtId="0" fontId="6" fillId="0" borderId="0" xfId="0" applyFont="1" applyFill="1" applyBorder="1" applyAlignment="1" applyProtection="1">
      <alignment vertical="center" wrapText="1"/>
      <protection/>
    </xf>
    <xf numFmtId="0" fontId="78" fillId="0" borderId="0" xfId="0" applyFont="1" applyAlignment="1">
      <alignment/>
    </xf>
    <xf numFmtId="0" fontId="78" fillId="34" borderId="0" xfId="0" applyFont="1" applyFill="1" applyAlignment="1">
      <alignment/>
    </xf>
    <xf numFmtId="0" fontId="79" fillId="33" borderId="0" xfId="0" applyFont="1" applyFill="1" applyAlignment="1">
      <alignment horizontal="center" vertical="center"/>
    </xf>
    <xf numFmtId="0" fontId="78" fillId="33" borderId="0" xfId="0" applyFont="1" applyFill="1" applyAlignment="1">
      <alignment horizontal="center" vertical="center"/>
    </xf>
    <xf numFmtId="0" fontId="78" fillId="33" borderId="0" xfId="0" applyFont="1" applyFill="1" applyAlignment="1">
      <alignment horizontal="center"/>
    </xf>
    <xf numFmtId="0" fontId="3" fillId="0" borderId="12" xfId="59" applyFont="1" applyFill="1" applyBorder="1" applyAlignment="1" applyProtection="1">
      <alignment horizontal="left" vertical="center" wrapText="1" indent="1"/>
      <protection/>
    </xf>
    <xf numFmtId="0" fontId="3" fillId="0" borderId="12" xfId="59" applyFont="1" applyFill="1" applyBorder="1" applyAlignment="1" applyProtection="1">
      <alignment horizontal="left" vertical="center" wrapText="1" indent="3"/>
      <protection/>
    </xf>
    <xf numFmtId="0" fontId="12" fillId="0" borderId="12" xfId="59" applyFont="1" applyFill="1" applyBorder="1" applyAlignment="1" applyProtection="1">
      <alignment horizontal="left" vertical="center" wrapText="1" indent="4"/>
      <protection/>
    </xf>
    <xf numFmtId="172" fontId="3" fillId="0" borderId="13" xfId="42" applyNumberFormat="1" applyFont="1" applyFill="1" applyBorder="1" applyAlignment="1">
      <alignment horizontal="center" vertical="center" wrapText="1"/>
    </xf>
    <xf numFmtId="0" fontId="3" fillId="35" borderId="15" xfId="59" applyFont="1" applyFill="1" applyBorder="1" applyAlignment="1" applyProtection="1">
      <alignment horizontal="left" vertical="center" wrapText="1"/>
      <protection/>
    </xf>
    <xf numFmtId="0" fontId="81" fillId="0" borderId="0" xfId="0" applyFont="1" applyFill="1" applyAlignment="1" applyProtection="1">
      <alignment/>
      <protection/>
    </xf>
    <xf numFmtId="0" fontId="81" fillId="0" borderId="0" xfId="0" applyFont="1" applyAlignment="1">
      <alignment wrapText="1"/>
    </xf>
    <xf numFmtId="0" fontId="22" fillId="33" borderId="10"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82" fillId="33" borderId="13"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82" fillId="33" borderId="14" xfId="0" applyFont="1" applyFill="1" applyBorder="1" applyAlignment="1">
      <alignment horizontal="center" vertical="center" wrapText="1"/>
    </xf>
    <xf numFmtId="0" fontId="79" fillId="33" borderId="17" xfId="0" applyFont="1" applyFill="1" applyBorder="1" applyAlignment="1">
      <alignment horizontal="left" vertical="center" wrapText="1" indent="2"/>
    </xf>
    <xf numFmtId="0" fontId="82" fillId="33" borderId="12" xfId="0" applyFont="1" applyFill="1" applyBorder="1" applyAlignment="1">
      <alignment horizontal="center" vertical="center" wrapText="1"/>
    </xf>
    <xf numFmtId="43" fontId="78" fillId="0" borderId="0" xfId="0" applyNumberFormat="1" applyFont="1" applyAlignment="1">
      <alignment wrapText="1"/>
    </xf>
    <xf numFmtId="0" fontId="78" fillId="0" borderId="18" xfId="0" applyFont="1" applyFill="1" applyBorder="1" applyAlignment="1">
      <alignment horizontal="left" vertical="center" wrapText="1"/>
    </xf>
    <xf numFmtId="0" fontId="21" fillId="0" borderId="0" xfId="0" applyFont="1" applyFill="1" applyAlignment="1" applyProtection="1">
      <alignment/>
      <protection/>
    </xf>
    <xf numFmtId="0" fontId="12" fillId="0" borderId="0" xfId="0" applyFont="1" applyFill="1" applyBorder="1" applyAlignment="1">
      <alignment/>
    </xf>
    <xf numFmtId="0" fontId="3" fillId="33" borderId="12" xfId="59" applyFont="1" applyFill="1" applyBorder="1" applyAlignment="1" applyProtection="1">
      <alignment horizontal="left" vertical="center" wrapText="1"/>
      <protection/>
    </xf>
    <xf numFmtId="0" fontId="3" fillId="33" borderId="13" xfId="0" applyFont="1" applyFill="1" applyBorder="1" applyAlignment="1">
      <alignment/>
    </xf>
    <xf numFmtId="0" fontId="3" fillId="33" borderId="0"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12" fillId="0" borderId="12" xfId="59" applyFont="1" applyFill="1" applyBorder="1" applyAlignment="1" applyProtection="1">
      <alignment horizontal="left" vertical="center" indent="3"/>
      <protection/>
    </xf>
    <xf numFmtId="0" fontId="12" fillId="0" borderId="13" xfId="0" applyFont="1" applyFill="1" applyBorder="1" applyAlignment="1">
      <alignment/>
    </xf>
    <xf numFmtId="0" fontId="12" fillId="0" borderId="12" xfId="59" applyFont="1" applyFill="1" applyBorder="1" applyAlignment="1" applyProtection="1">
      <alignment horizontal="left" vertical="center" wrapText="1" indent="3"/>
      <protection/>
    </xf>
    <xf numFmtId="0" fontId="18" fillId="0" borderId="12" xfId="59" applyFont="1" applyFill="1" applyBorder="1" applyAlignment="1" applyProtection="1">
      <alignment horizontal="left" vertical="center" wrapText="1" indent="3"/>
      <protection/>
    </xf>
    <xf numFmtId="0" fontId="19" fillId="0" borderId="12" xfId="59" applyFont="1" applyFill="1" applyBorder="1" applyAlignment="1" applyProtection="1">
      <alignment horizontal="left" vertical="center" wrapText="1" indent="5"/>
      <protection/>
    </xf>
    <xf numFmtId="43" fontId="12" fillId="0" borderId="13" xfId="42" applyNumberFormat="1" applyFont="1" applyFill="1" applyBorder="1" applyAlignment="1">
      <alignment horizontal="center" vertical="center"/>
    </xf>
    <xf numFmtId="179" fontId="12" fillId="0" borderId="13" xfId="0" applyNumberFormat="1" applyFont="1" applyFill="1" applyBorder="1" applyAlignment="1">
      <alignment/>
    </xf>
    <xf numFmtId="0" fontId="3" fillId="33" borderId="19" xfId="0" applyFont="1" applyFill="1" applyBorder="1" applyAlignment="1">
      <alignment/>
    </xf>
    <xf numFmtId="43" fontId="3" fillId="33" borderId="13" xfId="42" applyFont="1" applyFill="1" applyBorder="1" applyAlignment="1">
      <alignment/>
    </xf>
    <xf numFmtId="43" fontId="3" fillId="0" borderId="13" xfId="42" applyFont="1" applyFill="1" applyBorder="1" applyAlignment="1">
      <alignment/>
    </xf>
    <xf numFmtId="43" fontId="3" fillId="0" borderId="13" xfId="42" applyFont="1" applyFill="1" applyBorder="1" applyAlignment="1">
      <alignment horizontal="center" vertical="center" wrapText="1"/>
    </xf>
    <xf numFmtId="43" fontId="12" fillId="0" borderId="13" xfId="42" applyFont="1" applyFill="1" applyBorder="1" applyAlignment="1">
      <alignment/>
    </xf>
    <xf numFmtId="43" fontId="12" fillId="0" borderId="13" xfId="42" applyFont="1" applyFill="1" applyBorder="1" applyAlignment="1">
      <alignment horizontal="center" vertical="center"/>
    </xf>
    <xf numFmtId="43" fontId="3" fillId="33" borderId="19" xfId="42" applyFont="1" applyFill="1" applyBorder="1" applyAlignment="1">
      <alignment/>
    </xf>
    <xf numFmtId="43" fontId="12" fillId="0" borderId="0" xfId="42" applyFont="1" applyFill="1" applyBorder="1" applyAlignment="1">
      <alignment/>
    </xf>
    <xf numFmtId="43" fontId="79" fillId="33" borderId="15" xfId="0" applyNumberFormat="1" applyFont="1" applyFill="1" applyBorder="1" applyAlignment="1">
      <alignment horizontal="left" vertical="center" wrapText="1" indent="2"/>
    </xf>
    <xf numFmtId="43" fontId="79" fillId="33" borderId="0" xfId="0" applyNumberFormat="1" applyFont="1" applyFill="1" applyAlignment="1">
      <alignment wrapText="1"/>
    </xf>
    <xf numFmtId="43" fontId="79" fillId="33" borderId="20" xfId="0" applyNumberFormat="1" applyFont="1" applyFill="1" applyBorder="1" applyAlignment="1">
      <alignment horizontal="left" vertical="center" wrapText="1" indent="2"/>
    </xf>
    <xf numFmtId="0" fontId="82" fillId="33" borderId="21" xfId="0" applyFont="1" applyFill="1" applyBorder="1" applyAlignment="1">
      <alignment horizontal="center" vertical="center" wrapText="1"/>
    </xf>
    <xf numFmtId="43" fontId="79" fillId="33" borderId="22" xfId="0" applyNumberFormat="1" applyFont="1" applyFill="1" applyBorder="1" applyAlignment="1">
      <alignment horizontal="left" vertical="center" wrapText="1" indent="2"/>
    </xf>
    <xf numFmtId="0" fontId="19" fillId="0" borderId="12" xfId="59" applyFont="1" applyFill="1" applyBorder="1" applyAlignment="1" applyProtection="1">
      <alignment horizontal="left" vertical="center" indent="5"/>
      <protection/>
    </xf>
    <xf numFmtId="0" fontId="12" fillId="0" borderId="12" xfId="59" applyFont="1" applyFill="1" applyBorder="1" applyAlignment="1" applyProtection="1">
      <alignment horizontal="left" vertical="center" indent="4"/>
      <protection/>
    </xf>
    <xf numFmtId="43" fontId="3" fillId="33" borderId="0" xfId="0" applyNumberFormat="1" applyFont="1" applyFill="1" applyBorder="1" applyAlignment="1">
      <alignment/>
    </xf>
    <xf numFmtId="43" fontId="3" fillId="0" borderId="13" xfId="42" applyFont="1" applyFill="1" applyBorder="1" applyAlignment="1">
      <alignment horizontal="center" vertical="center"/>
    </xf>
    <xf numFmtId="43" fontId="3" fillId="0" borderId="0" xfId="0" applyNumberFormat="1" applyFont="1" applyFill="1" applyBorder="1" applyAlignment="1">
      <alignment/>
    </xf>
    <xf numFmtId="0" fontId="79" fillId="33" borderId="10"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1" xfId="0" applyFont="1" applyFill="1" applyBorder="1" applyAlignment="1">
      <alignment horizontal="center" vertical="center" wrapText="1"/>
    </xf>
    <xf numFmtId="43" fontId="78" fillId="0" borderId="13" xfId="42" applyFont="1" applyBorder="1" applyAlignment="1">
      <alignment vertical="center" wrapText="1"/>
    </xf>
    <xf numFmtId="43" fontId="78" fillId="0" borderId="14" xfId="42" applyFont="1" applyBorder="1" applyAlignment="1">
      <alignment vertical="center" wrapText="1"/>
    </xf>
    <xf numFmtId="0" fontId="79" fillId="33" borderId="19" xfId="0" applyFont="1" applyFill="1" applyBorder="1" applyAlignment="1">
      <alignment vertical="center" wrapText="1"/>
    </xf>
    <xf numFmtId="0" fontId="78" fillId="0" borderId="13" xfId="0" applyFont="1" applyBorder="1" applyAlignment="1">
      <alignment vertical="center" wrapText="1"/>
    </xf>
    <xf numFmtId="0" fontId="78" fillId="0" borderId="0" xfId="0" applyFont="1" applyAlignment="1">
      <alignment vertical="center" wrapText="1"/>
    </xf>
    <xf numFmtId="43" fontId="78" fillId="0" borderId="0" xfId="0" applyNumberFormat="1" applyFont="1" applyAlignment="1">
      <alignment vertical="center" wrapText="1"/>
    </xf>
    <xf numFmtId="0" fontId="79" fillId="33" borderId="15" xfId="0" applyFont="1" applyFill="1" applyBorder="1" applyAlignment="1">
      <alignment horizontal="left" vertical="center" wrapText="1"/>
    </xf>
    <xf numFmtId="43" fontId="79" fillId="33" borderId="0" xfId="0" applyNumberFormat="1" applyFont="1" applyFill="1" applyAlignment="1">
      <alignment vertical="center" wrapText="1"/>
    </xf>
    <xf numFmtId="0" fontId="79" fillId="33" borderId="0" xfId="0" applyFont="1" applyFill="1" applyAlignment="1">
      <alignment vertical="center" wrapText="1"/>
    </xf>
    <xf numFmtId="43" fontId="78" fillId="0" borderId="12" xfId="42" applyFont="1" applyFill="1" applyBorder="1" applyAlignment="1">
      <alignment vertical="center" wrapText="1"/>
    </xf>
    <xf numFmtId="43" fontId="12" fillId="0" borderId="13" xfId="0" applyNumberFormat="1" applyFont="1" applyFill="1" applyBorder="1" applyAlignment="1">
      <alignment/>
    </xf>
    <xf numFmtId="0" fontId="10" fillId="34" borderId="13" xfId="0" applyFont="1" applyFill="1" applyBorder="1" applyAlignment="1">
      <alignment horizontal="center" vertical="center"/>
    </xf>
    <xf numFmtId="0" fontId="83" fillId="0" borderId="13" xfId="0" applyFont="1" applyFill="1" applyBorder="1" applyAlignment="1">
      <alignment horizontal="center" vertical="center" wrapText="1"/>
    </xf>
    <xf numFmtId="43" fontId="3" fillId="0" borderId="14" xfId="42" applyFont="1" applyFill="1" applyBorder="1" applyAlignment="1">
      <alignment horizontal="center" vertical="center" wrapText="1"/>
    </xf>
    <xf numFmtId="43" fontId="3" fillId="0" borderId="14" xfId="42" applyFont="1" applyFill="1" applyBorder="1" applyAlignment="1">
      <alignment/>
    </xf>
    <xf numFmtId="43" fontId="12" fillId="0" borderId="14" xfId="42" applyFont="1" applyFill="1" applyBorder="1" applyAlignment="1">
      <alignment/>
    </xf>
    <xf numFmtId="43" fontId="3" fillId="33" borderId="23" xfId="42" applyFont="1" applyFill="1" applyBorder="1" applyAlignment="1">
      <alignment/>
    </xf>
    <xf numFmtId="43" fontId="79" fillId="33" borderId="19" xfId="42" applyFont="1" applyFill="1" applyBorder="1" applyAlignment="1">
      <alignment vertical="center" wrapText="1"/>
    </xf>
    <xf numFmtId="0" fontId="83" fillId="0" borderId="24" xfId="0" applyFont="1" applyBorder="1" applyAlignment="1">
      <alignment vertical="center" wrapText="1"/>
    </xf>
    <xf numFmtId="0" fontId="83" fillId="0" borderId="12" xfId="0" applyFont="1" applyBorder="1" applyAlignment="1">
      <alignment horizontal="center" vertical="center" wrapText="1"/>
    </xf>
    <xf numFmtId="0" fontId="83" fillId="0" borderId="13" xfId="0" applyFont="1" applyBorder="1" applyAlignment="1">
      <alignment horizontal="center" vertical="center" wrapText="1"/>
    </xf>
    <xf numFmtId="14" fontId="83" fillId="0" borderId="13" xfId="0" applyNumberFormat="1" applyFont="1" applyBorder="1" applyAlignment="1">
      <alignment horizontal="center" vertical="center" wrapText="1"/>
    </xf>
    <xf numFmtId="179" fontId="84" fillId="0" borderId="13" xfId="42" applyNumberFormat="1" applyFont="1" applyBorder="1" applyAlignment="1">
      <alignment horizontal="center" vertical="center" wrapText="1"/>
    </xf>
    <xf numFmtId="0" fontId="83" fillId="0" borderId="0" xfId="0" applyFont="1" applyAlignment="1">
      <alignment vertical="center" wrapText="1"/>
    </xf>
    <xf numFmtId="0" fontId="7" fillId="0" borderId="0" xfId="0" applyFont="1" applyFill="1" applyBorder="1" applyAlignment="1" applyProtection="1">
      <alignment horizontal="center" vertical="center" wrapText="1"/>
      <protection/>
    </xf>
    <xf numFmtId="0" fontId="82" fillId="0" borderId="0" xfId="0" applyFont="1" applyBorder="1" applyAlignment="1">
      <alignment horizontal="right" vertical="top" wrapText="1"/>
    </xf>
    <xf numFmtId="0" fontId="81" fillId="0" borderId="0" xfId="0" applyFont="1" applyAlignment="1">
      <alignment horizontal="right" wrapText="1"/>
    </xf>
    <xf numFmtId="0" fontId="81" fillId="0" borderId="0" xfId="0" applyFont="1" applyAlignment="1">
      <alignment horizontal="right" vertical="center" wrapText="1"/>
    </xf>
    <xf numFmtId="0" fontId="85" fillId="0" borderId="0" xfId="0" applyFont="1" applyAlignment="1">
      <alignment horizontal="center" vertical="center" wrapText="1"/>
    </xf>
    <xf numFmtId="0" fontId="12" fillId="0" borderId="16" xfId="0" applyFont="1" applyFill="1" applyBorder="1" applyAlignment="1">
      <alignment horizontal="center"/>
    </xf>
    <xf numFmtId="0" fontId="12" fillId="0" borderId="13" xfId="0" applyFont="1" applyFill="1" applyBorder="1" applyAlignment="1">
      <alignment horizontal="center"/>
    </xf>
    <xf numFmtId="0" fontId="12" fillId="0" borderId="19" xfId="0" applyFont="1" applyFill="1" applyBorder="1" applyAlignment="1">
      <alignment horizontal="center"/>
    </xf>
    <xf numFmtId="43" fontId="12" fillId="0" borderId="16" xfId="42" applyFont="1" applyFill="1" applyBorder="1" applyAlignment="1">
      <alignment horizontal="center"/>
    </xf>
    <xf numFmtId="43" fontId="12" fillId="0" borderId="13" xfId="42" applyFont="1" applyFill="1" applyBorder="1" applyAlignment="1">
      <alignment horizontal="center"/>
    </xf>
    <xf numFmtId="43" fontId="12" fillId="0" borderId="19" xfId="42" applyFont="1" applyFill="1" applyBorder="1" applyAlignment="1">
      <alignment horizontal="center"/>
    </xf>
    <xf numFmtId="0" fontId="3" fillId="0" borderId="16" xfId="0" applyFont="1" applyFill="1" applyBorder="1" applyAlignment="1">
      <alignment horizontal="center" vertical="center" wrapText="1"/>
    </xf>
    <xf numFmtId="0" fontId="15" fillId="0" borderId="0" xfId="0" applyFont="1" applyFill="1" applyAlignment="1" applyProtection="1">
      <alignment horizontal="right" vertical="center"/>
      <protection/>
    </xf>
    <xf numFmtId="0" fontId="3" fillId="0" borderId="10" xfId="59" applyFont="1" applyFill="1" applyBorder="1" applyAlignment="1" applyProtection="1">
      <alignment horizontal="center" vertical="center" wrapText="1"/>
      <protection/>
    </xf>
    <xf numFmtId="0" fontId="3" fillId="0" borderId="12" xfId="59" applyFont="1" applyFill="1" applyBorder="1" applyAlignment="1" applyProtection="1">
      <alignment horizontal="center" vertical="center" wrapText="1"/>
      <protection/>
    </xf>
    <xf numFmtId="0" fontId="12" fillId="0" borderId="25" xfId="0" applyFont="1" applyFill="1" applyBorder="1" applyAlignment="1">
      <alignment horizontal="left" vertical="center"/>
    </xf>
    <xf numFmtId="0" fontId="12" fillId="0" borderId="0" xfId="0" applyFont="1" applyFill="1" applyBorder="1" applyAlignment="1">
      <alignment horizontal="left" vertical="center"/>
    </xf>
    <xf numFmtId="43" fontId="3" fillId="0" borderId="16" xfId="42" applyFont="1" applyFill="1" applyBorder="1" applyAlignment="1">
      <alignment horizontal="center" vertical="center" wrapText="1"/>
    </xf>
    <xf numFmtId="0" fontId="3"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 fillId="0" borderId="0" xfId="0" applyFont="1" applyFill="1" applyBorder="1" applyAlignment="1">
      <alignment horizontal="right"/>
    </xf>
    <xf numFmtId="0" fontId="5" fillId="0" borderId="0" xfId="0" applyFont="1" applyBorder="1" applyAlignment="1">
      <alignment horizontal="left" vertical="center" wrapText="1"/>
    </xf>
    <xf numFmtId="0" fontId="78" fillId="0" borderId="0" xfId="0" applyFont="1" applyBorder="1" applyAlignment="1">
      <alignment horizontal="left" vertical="center" wrapText="1"/>
    </xf>
    <xf numFmtId="0" fontId="79" fillId="33" borderId="10"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33" borderId="26"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6" fillId="0" borderId="0" xfId="0" applyFont="1" applyBorder="1" applyAlignment="1">
      <alignment horizontal="left" wrapText="1"/>
    </xf>
    <xf numFmtId="0" fontId="78" fillId="0" borderId="0" xfId="0" applyFont="1" applyBorder="1" applyAlignment="1">
      <alignment horizontal="left" wrapText="1"/>
    </xf>
    <xf numFmtId="0" fontId="4" fillId="0" borderId="0" xfId="0" applyFont="1" applyFill="1" applyBorder="1" applyAlignment="1" applyProtection="1">
      <alignment horizontal="center" vertical="center" wrapText="1"/>
      <protection/>
    </xf>
    <xf numFmtId="0" fontId="14" fillId="0" borderId="0" xfId="0" applyFont="1" applyBorder="1" applyAlignment="1">
      <alignment horizontal="left" vertical="center" wrapText="1"/>
    </xf>
    <xf numFmtId="0" fontId="82" fillId="0" borderId="0" xfId="0" applyFont="1" applyBorder="1" applyAlignment="1">
      <alignment horizontal="left" vertical="center" wrapText="1"/>
    </xf>
    <xf numFmtId="0" fontId="82" fillId="0" borderId="25" xfId="0" applyFont="1" applyBorder="1" applyAlignment="1">
      <alignment horizontal="left" wrapText="1"/>
    </xf>
    <xf numFmtId="0" fontId="85" fillId="0" borderId="0" xfId="0" applyFont="1" applyFill="1" applyBorder="1" applyAlignment="1">
      <alignment horizontal="center" vertical="center" wrapText="1"/>
    </xf>
    <xf numFmtId="0" fontId="78" fillId="0" borderId="25" xfId="0" applyFont="1" applyBorder="1" applyAlignment="1">
      <alignment horizontal="left" vertical="center" wrapText="1"/>
    </xf>
    <xf numFmtId="0" fontId="85" fillId="0" borderId="0" xfId="0" applyFont="1" applyFill="1" applyAlignment="1">
      <alignment horizontal="center" vertical="center" wrapText="1"/>
    </xf>
    <xf numFmtId="0" fontId="82" fillId="0" borderId="27" xfId="0" applyFont="1" applyBorder="1" applyAlignment="1">
      <alignment horizontal="right" vertical="center"/>
    </xf>
    <xf numFmtId="0" fontId="78" fillId="0" borderId="28" xfId="0" applyFont="1" applyBorder="1" applyAlignment="1">
      <alignment horizontal="left" vertical="center" wrapText="1"/>
    </xf>
    <xf numFmtId="0" fontId="78" fillId="0" borderId="28" xfId="0" applyFont="1" applyBorder="1" applyAlignment="1">
      <alignment horizontal="left" vertical="center"/>
    </xf>
    <xf numFmtId="0" fontId="82" fillId="0" borderId="0" xfId="0" applyFont="1" applyBorder="1" applyAlignment="1">
      <alignment horizontal="right" vertical="center"/>
    </xf>
    <xf numFmtId="0" fontId="5" fillId="0" borderId="0" xfId="0" applyFont="1" applyBorder="1" applyAlignment="1">
      <alignment horizontal="left" vertical="center"/>
    </xf>
    <xf numFmtId="0" fontId="78" fillId="0" borderId="0" xfId="0" applyFont="1" applyBorder="1" applyAlignment="1">
      <alignment horizontal="left" vertical="center"/>
    </xf>
    <xf numFmtId="0" fontId="76" fillId="33" borderId="16"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76" fillId="33" borderId="30" xfId="0" applyFont="1" applyFill="1" applyBorder="1" applyAlignment="1">
      <alignment horizontal="center" vertical="center" wrapText="1"/>
    </xf>
    <xf numFmtId="0" fontId="86" fillId="0" borderId="0" xfId="0" applyFont="1" applyAlignment="1">
      <alignment horizontal="center" vertical="center" wrapText="1"/>
    </xf>
    <xf numFmtId="0" fontId="81"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76" fillId="33" borderId="10"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21" fillId="34" borderId="13" xfId="0" applyFont="1" applyFill="1" applyBorder="1" applyAlignment="1">
      <alignment horizontal="left" vertical="center" wrapText="1"/>
    </xf>
    <xf numFmtId="0" fontId="22" fillId="34" borderId="13" xfId="0" applyFont="1" applyFill="1" applyBorder="1" applyAlignment="1">
      <alignment horizontal="center" vertical="center" wrapText="1"/>
    </xf>
    <xf numFmtId="0" fontId="78" fillId="0" borderId="12" xfId="0" applyFont="1" applyBorder="1" applyAlignment="1">
      <alignment vertical="center" wrapText="1"/>
    </xf>
    <xf numFmtId="0" fontId="78" fillId="0" borderId="15" xfId="0" applyFont="1" applyBorder="1" applyAlignment="1">
      <alignment vertical="center" wrapText="1"/>
    </xf>
    <xf numFmtId="43" fontId="78" fillId="0" borderId="14" xfId="42" applyFont="1" applyBorder="1" applyAlignment="1">
      <alignment horizontal="center" vertical="center" wrapText="1"/>
    </xf>
    <xf numFmtId="0" fontId="78" fillId="0" borderId="23" xfId="0" applyFont="1" applyBorder="1" applyAlignment="1">
      <alignment horizontal="center" vertical="center" wrapText="1"/>
    </xf>
    <xf numFmtId="0" fontId="78" fillId="34" borderId="31" xfId="0" applyFont="1" applyFill="1" applyBorder="1" applyAlignment="1">
      <alignment horizontal="left" vertical="center" wrapText="1"/>
    </xf>
    <xf numFmtId="0" fontId="79" fillId="34" borderId="32" xfId="0" applyFont="1" applyFill="1" applyBorder="1" applyAlignment="1">
      <alignment horizontal="center" vertical="center"/>
    </xf>
    <xf numFmtId="0" fontId="15" fillId="34" borderId="33" xfId="0" applyFont="1" applyFill="1" applyBorder="1" applyAlignment="1" applyProtection="1">
      <alignment horizontal="right" vertical="center"/>
      <protection/>
    </xf>
    <xf numFmtId="0" fontId="15" fillId="34" borderId="34" xfId="0" applyFont="1" applyFill="1" applyBorder="1" applyAlignment="1" applyProtection="1">
      <alignment horizontal="right" vertical="center"/>
      <protection/>
    </xf>
    <xf numFmtId="0" fontId="15" fillId="34" borderId="35" xfId="0" applyFont="1" applyFill="1" applyBorder="1" applyAlignment="1" applyProtection="1">
      <alignment horizontal="right" vertical="center"/>
      <protection/>
    </xf>
    <xf numFmtId="0" fontId="46" fillId="34" borderId="13" xfId="0" applyFont="1" applyFill="1" applyBorder="1" applyAlignment="1">
      <alignment horizontal="center" vertical="center" wrapText="1"/>
    </xf>
    <xf numFmtId="0" fontId="22" fillId="36" borderId="13" xfId="0" applyNumberFormat="1" applyFont="1" applyFill="1" applyBorder="1" applyAlignment="1">
      <alignment horizontal="center" vertical="center" wrapText="1"/>
    </xf>
    <xf numFmtId="0" fontId="22" fillId="36" borderId="13" xfId="0" applyNumberFormat="1" applyFont="1" applyFill="1" applyBorder="1" applyAlignment="1">
      <alignment horizontal="center" vertical="center" wrapText="1"/>
    </xf>
    <xf numFmtId="0" fontId="21" fillId="34" borderId="13" xfId="0" applyNumberFormat="1" applyFont="1" applyFill="1" applyBorder="1" applyAlignment="1">
      <alignment horizontal="center" vertical="center" wrapText="1"/>
    </xf>
    <xf numFmtId="0" fontId="21" fillId="34" borderId="13" xfId="0" applyNumberFormat="1" applyFont="1" applyFill="1" applyBorder="1" applyAlignment="1">
      <alignment horizontal="left" vertical="center" wrapText="1"/>
    </xf>
    <xf numFmtId="0" fontId="22" fillId="34" borderId="13"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3" xfId="0" applyNumberFormat="1" applyFont="1" applyFill="1" applyBorder="1" applyAlignment="1">
      <alignment horizontal="left" vertical="center" wrapText="1"/>
    </xf>
    <xf numFmtId="49" fontId="12" fillId="34" borderId="13" xfId="0" applyNumberFormat="1" applyFont="1" applyFill="1" applyBorder="1" applyAlignment="1">
      <alignment horizontal="center" vertical="center" wrapText="1"/>
    </xf>
    <xf numFmtId="0" fontId="11" fillId="34" borderId="13" xfId="0" applyNumberFormat="1" applyFont="1" applyFill="1" applyBorder="1" applyAlignment="1">
      <alignment horizontal="center" vertical="center" wrapText="1"/>
    </xf>
    <xf numFmtId="2" fontId="12" fillId="34" borderId="13" xfId="42" applyNumberFormat="1" applyFont="1" applyFill="1" applyBorder="1" applyAlignment="1">
      <alignment horizontal="center" vertical="center" wrapText="1"/>
    </xf>
    <xf numFmtId="2" fontId="21" fillId="34" borderId="13" xfId="0" applyNumberFormat="1" applyFont="1" applyFill="1" applyBorder="1" applyAlignment="1">
      <alignment horizontal="center" vertical="center" wrapText="1"/>
    </xf>
    <xf numFmtId="2" fontId="11" fillId="34" borderId="13" xfId="0" applyNumberFormat="1" applyFont="1" applyFill="1" applyBorder="1" applyAlignment="1">
      <alignment horizontal="center" vertical="center" wrapText="1"/>
    </xf>
    <xf numFmtId="0" fontId="11" fillId="34" borderId="13" xfId="0" applyFont="1" applyFill="1" applyBorder="1" applyAlignment="1">
      <alignment horizontal="left" vertical="center" wrapText="1"/>
    </xf>
    <xf numFmtId="0" fontId="12" fillId="34" borderId="13" xfId="0" applyFont="1" applyFill="1" applyBorder="1" applyAlignment="1">
      <alignment horizontal="center" vertical="center" wrapText="1"/>
    </xf>
    <xf numFmtId="0" fontId="47" fillId="34" borderId="13" xfId="0" applyFont="1" applyFill="1" applyBorder="1" applyAlignment="1">
      <alignment horizontal="left" vertical="center" wrapText="1"/>
    </xf>
    <xf numFmtId="0" fontId="12" fillId="34" borderId="13" xfId="0" applyFont="1" applyFill="1" applyBorder="1" applyAlignment="1">
      <alignment horizontal="center" vertical="center"/>
    </xf>
    <xf numFmtId="0" fontId="48" fillId="34" borderId="13"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48" fillId="34" borderId="13" xfId="0" applyFont="1" applyFill="1" applyBorder="1" applyAlignment="1">
      <alignment horizontal="left" vertical="center" wrapText="1"/>
    </xf>
    <xf numFmtId="49" fontId="12" fillId="34" borderId="13" xfId="0" applyNumberFormat="1" applyFont="1" applyFill="1" applyBorder="1" applyAlignment="1">
      <alignment horizontal="left" vertical="center" wrapText="1"/>
    </xf>
    <xf numFmtId="49" fontId="49" fillId="34" borderId="13" xfId="0" applyNumberFormat="1" applyFont="1" applyFill="1" applyBorder="1" applyAlignment="1">
      <alignment horizontal="left" vertical="center" wrapText="1"/>
    </xf>
    <xf numFmtId="0" fontId="47" fillId="34" borderId="13" xfId="0" applyFont="1" applyFill="1" applyBorder="1" applyAlignment="1">
      <alignment horizontal="center" vertical="center" wrapText="1"/>
    </xf>
    <xf numFmtId="0" fontId="11" fillId="34" borderId="13" xfId="0" applyNumberFormat="1" applyFont="1" applyFill="1" applyBorder="1" applyAlignment="1">
      <alignment horizontal="center" vertical="center" wrapText="1"/>
    </xf>
    <xf numFmtId="49" fontId="11" fillId="34" borderId="13" xfId="0" applyNumberFormat="1" applyFont="1" applyFill="1" applyBorder="1" applyAlignment="1">
      <alignment horizontal="left" vertical="center" wrapText="1"/>
    </xf>
    <xf numFmtId="49" fontId="47" fillId="34" borderId="13" xfId="0" applyNumberFormat="1" applyFont="1" applyFill="1" applyBorder="1" applyAlignment="1">
      <alignment horizontal="left" vertical="center" wrapText="1"/>
    </xf>
    <xf numFmtId="0" fontId="12" fillId="34" borderId="13" xfId="0" applyFont="1" applyFill="1" applyBorder="1" applyAlignment="1">
      <alignment horizontal="left" vertical="center" wrapText="1"/>
    </xf>
    <xf numFmtId="0" fontId="21" fillId="34" borderId="13" xfId="60" applyFont="1" applyFill="1" applyBorder="1" applyAlignment="1">
      <alignment horizontal="left" vertical="center" wrapText="1"/>
      <protection/>
    </xf>
    <xf numFmtId="49" fontId="12" fillId="34" borderId="13" xfId="0" applyNumberFormat="1" applyFont="1" applyFill="1" applyBorder="1" applyAlignment="1">
      <alignment horizontal="center" vertical="center" wrapText="1"/>
    </xf>
    <xf numFmtId="0" fontId="50" fillId="34" borderId="13" xfId="0" applyFont="1" applyFill="1" applyBorder="1" applyAlignment="1">
      <alignment horizontal="center" vertical="center" wrapText="1"/>
    </xf>
    <xf numFmtId="49" fontId="3" fillId="36" borderId="33" xfId="0" applyNumberFormat="1" applyFont="1" applyFill="1" applyBorder="1" applyAlignment="1">
      <alignment horizontal="center" vertical="center" wrapText="1"/>
    </xf>
    <xf numFmtId="49" fontId="3" fillId="36" borderId="34"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2" fontId="3" fillId="36" borderId="13" xfId="0" applyNumberFormat="1" applyFont="1" applyFill="1" applyBorder="1" applyAlignment="1">
      <alignment horizontal="center" vertical="center" wrapText="1"/>
    </xf>
    <xf numFmtId="2" fontId="21" fillId="36" borderId="33" xfId="0" applyNumberFormat="1" applyFont="1" applyFill="1" applyBorder="1" applyAlignment="1">
      <alignment vertical="center" wrapText="1"/>
    </xf>
    <xf numFmtId="0" fontId="21" fillId="36" borderId="34" xfId="0" applyNumberFormat="1" applyFont="1" applyFill="1" applyBorder="1" applyAlignment="1">
      <alignment vertical="center" wrapText="1"/>
    </xf>
    <xf numFmtId="0" fontId="21" fillId="36" borderId="35" xfId="0" applyNumberFormat="1" applyFont="1" applyFill="1" applyBorder="1" applyAlignment="1">
      <alignment vertical="center" wrapText="1"/>
    </xf>
    <xf numFmtId="49" fontId="12" fillId="34" borderId="36" xfId="0" applyNumberFormat="1" applyFont="1" applyFill="1" applyBorder="1" applyAlignment="1">
      <alignment horizontal="center" vertical="center" wrapText="1"/>
    </xf>
    <xf numFmtId="49" fontId="12" fillId="34" borderId="30" xfId="0" applyNumberFormat="1" applyFont="1" applyFill="1" applyBorder="1" applyAlignment="1">
      <alignment horizontal="center" vertical="center" wrapText="1"/>
    </xf>
    <xf numFmtId="2" fontId="12" fillId="34" borderId="13" xfId="0" applyNumberFormat="1" applyFont="1" applyFill="1" applyBorder="1" applyAlignment="1">
      <alignment horizontal="center" vertical="center" wrapText="1"/>
    </xf>
    <xf numFmtId="49" fontId="12" fillId="34" borderId="37" xfId="0" applyNumberFormat="1" applyFont="1" applyFill="1" applyBorder="1" applyAlignment="1">
      <alignment horizontal="center" vertical="center" wrapText="1"/>
    </xf>
    <xf numFmtId="2" fontId="12" fillId="34" borderId="13" xfId="45" applyNumberFormat="1" applyFont="1" applyFill="1" applyBorder="1" applyAlignment="1">
      <alignment horizontal="center" vertical="center" wrapText="1"/>
    </xf>
    <xf numFmtId="49" fontId="12" fillId="34" borderId="13" xfId="45" applyNumberFormat="1"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12" fillId="34" borderId="13" xfId="45" applyNumberFormat="1" applyFont="1" applyFill="1" applyBorder="1" applyAlignment="1">
      <alignment horizontal="center" vertical="center" wrapText="1"/>
    </xf>
    <xf numFmtId="2" fontId="3" fillId="34" borderId="13" xfId="45" applyNumberFormat="1" applyFont="1" applyFill="1" applyBorder="1" applyAlignment="1">
      <alignment horizontal="center" vertical="center" wrapText="1"/>
    </xf>
    <xf numFmtId="49" fontId="3" fillId="34" borderId="13" xfId="45" applyNumberFormat="1" applyFont="1" applyFill="1" applyBorder="1" applyAlignment="1">
      <alignment horizontal="center" vertical="center" wrapText="1"/>
    </xf>
    <xf numFmtId="0" fontId="52" fillId="34" borderId="13" xfId="0" applyNumberFormat="1" applyFont="1" applyFill="1" applyBorder="1" applyAlignment="1">
      <alignment horizontal="center" vertical="center" wrapText="1"/>
    </xf>
    <xf numFmtId="4" fontId="12" fillId="34" borderId="13" xfId="0" applyNumberFormat="1" applyFont="1" applyFill="1" applyBorder="1" applyAlignment="1">
      <alignment horizontal="center" vertical="center" wrapText="1"/>
    </xf>
    <xf numFmtId="0" fontId="54" fillId="34" borderId="13" xfId="0" applyFont="1" applyFill="1" applyBorder="1" applyAlignment="1">
      <alignment horizontal="left" vertical="center" wrapText="1"/>
    </xf>
    <xf numFmtId="49" fontId="3" fillId="34" borderId="13" xfId="0" applyNumberFormat="1" applyFont="1" applyFill="1" applyBorder="1" applyAlignment="1">
      <alignment horizontal="center" vertical="center" wrapText="1"/>
    </xf>
    <xf numFmtId="0" fontId="55" fillId="34" borderId="13" xfId="0" applyFont="1" applyFill="1" applyBorder="1" applyAlignment="1">
      <alignment horizontal="left" vertical="center" wrapText="1"/>
    </xf>
    <xf numFmtId="0" fontId="49" fillId="34" borderId="13" xfId="0" applyFont="1" applyFill="1" applyBorder="1" applyAlignment="1">
      <alignment horizontal="left" vertical="center" wrapText="1"/>
    </xf>
    <xf numFmtId="0" fontId="55" fillId="34" borderId="13" xfId="0" applyFont="1" applyFill="1" applyBorder="1" applyAlignment="1">
      <alignment horizontal="center" vertical="center" wrapText="1"/>
    </xf>
    <xf numFmtId="0" fontId="12" fillId="34" borderId="13" xfId="0" applyFont="1" applyFill="1" applyBorder="1" applyAlignment="1">
      <alignment horizontal="left" vertical="top" wrapText="1"/>
    </xf>
    <xf numFmtId="49" fontId="12" fillId="34" borderId="30" xfId="59" applyNumberFormat="1" applyFont="1" applyFill="1" applyBorder="1" applyAlignment="1">
      <alignment horizontal="center" vertical="center" wrapText="1"/>
      <protection/>
    </xf>
    <xf numFmtId="49" fontId="12" fillId="34" borderId="30" xfId="0" applyNumberFormat="1" applyFont="1" applyFill="1" applyBorder="1" applyAlignment="1">
      <alignment horizontal="left" vertical="center" wrapText="1"/>
    </xf>
    <xf numFmtId="0" fontId="11" fillId="34" borderId="36" xfId="0" applyNumberFormat="1" applyFont="1" applyFill="1" applyBorder="1" applyAlignment="1">
      <alignment horizontal="center" vertical="center" wrapText="1"/>
    </xf>
    <xf numFmtId="49" fontId="12" fillId="34" borderId="13" xfId="59" applyNumberFormat="1" applyFont="1" applyFill="1" applyBorder="1" applyAlignment="1">
      <alignment horizontal="center" vertical="center" wrapText="1"/>
      <protection/>
    </xf>
    <xf numFmtId="0" fontId="11" fillId="34" borderId="37" xfId="0" applyNumberFormat="1" applyFont="1" applyFill="1" applyBorder="1" applyAlignment="1">
      <alignment horizontal="center" vertical="center" wrapText="1"/>
    </xf>
    <xf numFmtId="49" fontId="12" fillId="34" borderId="30" xfId="0" applyNumberFormat="1" applyFont="1" applyFill="1" applyBorder="1" applyAlignment="1">
      <alignment horizontal="center" vertical="center" wrapText="1"/>
    </xf>
    <xf numFmtId="0" fontId="11" fillId="34" borderId="30" xfId="0" applyNumberFormat="1" applyFont="1" applyFill="1" applyBorder="1" applyAlignment="1">
      <alignment horizontal="center" vertical="center" wrapText="1"/>
    </xf>
    <xf numFmtId="4" fontId="12" fillId="34" borderId="27"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2" fontId="12" fillId="34" borderId="33" xfId="42" applyNumberFormat="1" applyFont="1" applyFill="1" applyBorder="1" applyAlignment="1">
      <alignment horizontal="center" vertical="center" wrapText="1"/>
    </xf>
    <xf numFmtId="2" fontId="12" fillId="34" borderId="35" xfId="42" applyNumberFormat="1" applyFont="1" applyFill="1" applyBorder="1" applyAlignment="1">
      <alignment horizontal="center" vertical="center" wrapText="1"/>
    </xf>
    <xf numFmtId="0" fontId="21" fillId="34" borderId="34" xfId="0" applyNumberFormat="1" applyFont="1" applyFill="1" applyBorder="1" applyAlignment="1">
      <alignment vertical="center" wrapText="1"/>
    </xf>
    <xf numFmtId="0" fontId="21" fillId="34" borderId="35" xfId="0" applyNumberFormat="1" applyFont="1" applyFill="1" applyBorder="1" applyAlignment="1">
      <alignment vertical="center" wrapText="1"/>
    </xf>
    <xf numFmtId="0" fontId="21" fillId="34" borderId="0" xfId="0" applyNumberFormat="1" applyFont="1" applyFill="1" applyBorder="1" applyAlignment="1">
      <alignment horizontal="center" vertical="center" wrapText="1"/>
    </xf>
    <xf numFmtId="0" fontId="21" fillId="34" borderId="0" xfId="0" applyNumberFormat="1" applyFont="1" applyFill="1" applyBorder="1" applyAlignment="1">
      <alignment horizontal="center" vertical="center" wrapText="1"/>
    </xf>
    <xf numFmtId="0" fontId="21" fillId="34" borderId="0" xfId="0" applyFont="1" applyFill="1" applyAlignment="1" applyProtection="1">
      <alignment horizontal="center" vertical="center"/>
      <protection/>
    </xf>
    <xf numFmtId="0" fontId="21" fillId="34" borderId="0" xfId="0" applyFont="1" applyFill="1" applyAlignment="1" applyProtection="1">
      <alignment horizontal="center" vertical="center"/>
      <protection/>
    </xf>
    <xf numFmtId="0" fontId="81" fillId="0" borderId="13" xfId="0" applyFont="1" applyFill="1" applyBorder="1" applyAlignment="1" applyProtection="1">
      <alignment horizontal="right" vertical="center" wrapText="1"/>
      <protection/>
    </xf>
    <xf numFmtId="0" fontId="6"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right" vertical="center" wrapText="1"/>
      <protection/>
    </xf>
    <xf numFmtId="0" fontId="6" fillId="37" borderId="13" xfId="0" applyFont="1" applyFill="1" applyBorder="1" applyAlignment="1" applyProtection="1">
      <alignment horizontal="center" vertical="center" wrapText="1"/>
      <protection/>
    </xf>
    <xf numFmtId="0" fontId="6" fillId="37" borderId="13" xfId="0" applyFont="1" applyFill="1" applyBorder="1" applyAlignment="1" applyProtection="1">
      <alignment horizontal="center" vertical="center"/>
      <protection/>
    </xf>
    <xf numFmtId="0" fontId="22" fillId="37" borderId="13" xfId="0" applyFont="1" applyFill="1" applyBorder="1" applyAlignment="1" applyProtection="1">
      <alignment horizontal="center" vertical="center" wrapText="1"/>
      <protection/>
    </xf>
    <xf numFmtId="0" fontId="78" fillId="34" borderId="13" xfId="0" applyFont="1" applyFill="1" applyBorder="1" applyAlignment="1" applyProtection="1">
      <alignment horizontal="center" vertical="center"/>
      <protection/>
    </xf>
    <xf numFmtId="0" fontId="78" fillId="34" borderId="13" xfId="0" applyFont="1" applyFill="1" applyBorder="1" applyAlignment="1" applyProtection="1">
      <alignment horizontal="center" vertical="center" wrapText="1"/>
      <protection/>
    </xf>
    <xf numFmtId="0" fontId="21" fillId="34" borderId="13" xfId="0" applyFont="1" applyFill="1" applyBorder="1" applyAlignment="1" applyProtection="1">
      <alignment horizontal="center" vertical="center" wrapText="1"/>
      <protection/>
    </xf>
    <xf numFmtId="0" fontId="87" fillId="34" borderId="13" xfId="0" applyFont="1" applyFill="1" applyBorder="1" applyAlignment="1" applyProtection="1">
      <alignment horizontal="center" vertical="center" wrapText="1"/>
      <protection/>
    </xf>
    <xf numFmtId="0" fontId="6" fillId="36" borderId="13" xfId="0" applyFont="1" applyFill="1" applyBorder="1" applyAlignment="1" applyProtection="1">
      <alignment horizontal="center" vertical="center" wrapText="1"/>
      <protection/>
    </xf>
    <xf numFmtId="0" fontId="5" fillId="36" borderId="13" xfId="0" applyFont="1" applyFill="1" applyBorder="1" applyAlignment="1" applyProtection="1">
      <alignment horizontal="center" vertical="center" wrapText="1"/>
      <protection/>
    </xf>
    <xf numFmtId="0" fontId="83" fillId="34" borderId="13" xfId="0" applyFont="1" applyFill="1" applyBorder="1" applyAlignment="1" applyProtection="1">
      <alignment horizontal="center" vertical="center" wrapText="1"/>
      <protection/>
    </xf>
    <xf numFmtId="0" fontId="78" fillId="38" borderId="13" xfId="0" applyFont="1" applyFill="1" applyBorder="1" applyAlignment="1" applyProtection="1">
      <alignment horizontal="center" vertical="center"/>
      <protection/>
    </xf>
    <xf numFmtId="0" fontId="83" fillId="38" borderId="13" xfId="0" applyFont="1" applyFill="1" applyBorder="1" applyAlignment="1" applyProtection="1">
      <alignment horizontal="center" vertical="center" wrapText="1"/>
      <protection/>
    </xf>
    <xf numFmtId="0" fontId="78" fillId="38" borderId="13"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78" fillId="34" borderId="13" xfId="0" applyFont="1" applyFill="1" applyBorder="1" applyAlignment="1" applyProtection="1">
      <alignment horizontal="center" vertical="center" wrapText="1"/>
      <protection/>
    </xf>
    <xf numFmtId="0" fontId="79" fillId="0" borderId="13" xfId="0"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4"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tenders.procurement.gov.ge/" TargetMode="External" /><Relationship Id="rId2" Type="http://schemas.openxmlformats.org/officeDocument/2006/relationships/hyperlink" Target="https://tenders.procurement.gov.ge/" TargetMode="External" /><Relationship Id="rId3" Type="http://schemas.openxmlformats.org/officeDocument/2006/relationships/hyperlink" Target="https://tenders.procurement.gov.ge/" TargetMode="External" /><Relationship Id="rId4" Type="http://schemas.openxmlformats.org/officeDocument/2006/relationships/hyperlink" Target="https://tenders.procurement.gov.ge/" TargetMode="External" /><Relationship Id="rId5" Type="http://schemas.openxmlformats.org/officeDocument/2006/relationships/hyperlink" Target="https://tenders.procurement.gov.ge/" TargetMode="External" /><Relationship Id="rId6" Type="http://schemas.openxmlformats.org/officeDocument/2006/relationships/hyperlink" Target="https://tenders.procurement.gov.ge/" TargetMode="External" /><Relationship Id="rId7" Type="http://schemas.openxmlformats.org/officeDocument/2006/relationships/hyperlink" Target="https://tenders.procurement.gov.ge/" TargetMode="External" /><Relationship Id="rId8" Type="http://schemas.openxmlformats.org/officeDocument/2006/relationships/hyperlink" Target="https://tenders.procurement.gov.ge/" TargetMode="External" /><Relationship Id="rId9" Type="http://schemas.openxmlformats.org/officeDocument/2006/relationships/hyperlink" Target="https://tenders.procurement.gov.ge/" TargetMode="External" /><Relationship Id="rId10" Type="http://schemas.openxmlformats.org/officeDocument/2006/relationships/hyperlink" Target="https://tenders.procurement.gov.ge/" TargetMode="External" /><Relationship Id="rId11" Type="http://schemas.openxmlformats.org/officeDocument/2006/relationships/hyperlink" Target="https://tenders.procurement.gov.ge/" TargetMode="External" /><Relationship Id="rId12" Type="http://schemas.openxmlformats.org/officeDocument/2006/relationships/hyperlink" Target="https://tenders.procurement.gov.ge/" TargetMode="External" /><Relationship Id="rId13" Type="http://schemas.openxmlformats.org/officeDocument/2006/relationships/hyperlink" Target="https://tenders.procurement.gov.ge/" TargetMode="External" /><Relationship Id="rId14" Type="http://schemas.openxmlformats.org/officeDocument/2006/relationships/hyperlink" Target="https://tenders.procurement.gov.ge/" TargetMode="External" /><Relationship Id="rId15" Type="http://schemas.openxmlformats.org/officeDocument/2006/relationships/hyperlink" Target="https://tenders.procurement.gov.ge/" TargetMode="External" /><Relationship Id="rId16" Type="http://schemas.openxmlformats.org/officeDocument/2006/relationships/hyperlink" Target="https://tenders.procurement.gov.ge/" TargetMode="External" /><Relationship Id="rId17" Type="http://schemas.openxmlformats.org/officeDocument/2006/relationships/hyperlink" Target="https://tenders.procurement.gov.ge/" TargetMode="External" /><Relationship Id="rId18" Type="http://schemas.openxmlformats.org/officeDocument/2006/relationships/hyperlink" Target="https://tenders.procurement.gov.ge/" TargetMode="External" /><Relationship Id="rId19" Type="http://schemas.openxmlformats.org/officeDocument/2006/relationships/hyperlink" Target="https://tenders.procurement.gov.ge/" TargetMode="External" /><Relationship Id="rId20" Type="http://schemas.openxmlformats.org/officeDocument/2006/relationships/hyperlink" Target="https://tenders.procurement.gov.ge/" TargetMode="External" /><Relationship Id="rId21" Type="http://schemas.openxmlformats.org/officeDocument/2006/relationships/hyperlink" Target="https://tenders.procurement.gov.ge/" TargetMode="External" /><Relationship Id="rId22" Type="http://schemas.openxmlformats.org/officeDocument/2006/relationships/hyperlink" Target="https://tenders.procurement.gov.ge/" TargetMode="External" /><Relationship Id="rId23" Type="http://schemas.openxmlformats.org/officeDocument/2006/relationships/hyperlink" Target="https://tenders.procurement.gov.ge/" TargetMode="External" /><Relationship Id="rId24" Type="http://schemas.openxmlformats.org/officeDocument/2006/relationships/hyperlink" Target="https://tenders.procurement.gov.ge/" TargetMode="External" /><Relationship Id="rId25" Type="http://schemas.openxmlformats.org/officeDocument/2006/relationships/hyperlink" Target="https://tenders.procurement.gov.ge/" TargetMode="External" /><Relationship Id="rId26" Type="http://schemas.openxmlformats.org/officeDocument/2006/relationships/hyperlink" Target="https://tenders.procurement.gov.ge/" TargetMode="External" /><Relationship Id="rId27" Type="http://schemas.openxmlformats.org/officeDocument/2006/relationships/hyperlink" Target="https://tenders.procurement.gov.ge/" TargetMode="External" /><Relationship Id="rId28" Type="http://schemas.openxmlformats.org/officeDocument/2006/relationships/hyperlink" Target="https://tenders.procurement.gov.ge/" TargetMode="External" /><Relationship Id="rId29" Type="http://schemas.openxmlformats.org/officeDocument/2006/relationships/hyperlink" Target="https://tenders.procurement.gov.ge/" TargetMode="External" /><Relationship Id="rId30" Type="http://schemas.openxmlformats.org/officeDocument/2006/relationships/hyperlink" Target="https://tenders.procurement.gov.ge/" TargetMode="External" /><Relationship Id="rId31" Type="http://schemas.openxmlformats.org/officeDocument/2006/relationships/hyperlink" Target="https://tenders.procurement.gov.g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67</xdr:row>
      <xdr:rowOff>0</xdr:rowOff>
    </xdr:from>
    <xdr:ext cx="304800" cy="190500"/>
    <xdr:sp>
      <xdr:nvSpPr>
        <xdr:cNvPr id="1" name="AutoShape 44" descr="https://tenders.procurement.gov.ge/images/profile24.png">
          <a:hlinkClick r:id="rId1"/>
        </xdr:cNvPr>
        <xdr:cNvSpPr>
          <a:spLocks noChangeAspect="1"/>
        </xdr:cNvSpPr>
      </xdr:nvSpPr>
      <xdr:spPr>
        <a:xfrm>
          <a:off x="0" y="2570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67</xdr:row>
      <xdr:rowOff>0</xdr:rowOff>
    </xdr:from>
    <xdr:ext cx="304800" cy="190500"/>
    <xdr:sp>
      <xdr:nvSpPr>
        <xdr:cNvPr id="2" name="AutoShape 47" descr="https://tenders.procurement.gov.ge/images/profile24.png">
          <a:hlinkClick r:id="rId2"/>
        </xdr:cNvPr>
        <xdr:cNvSpPr>
          <a:spLocks noChangeAspect="1"/>
        </xdr:cNvSpPr>
      </xdr:nvSpPr>
      <xdr:spPr>
        <a:xfrm>
          <a:off x="0" y="2570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67</xdr:row>
      <xdr:rowOff>0</xdr:rowOff>
    </xdr:from>
    <xdr:ext cx="304800" cy="190500"/>
    <xdr:sp>
      <xdr:nvSpPr>
        <xdr:cNvPr id="3" name="AutoShape 44" descr="https://tenders.procurement.gov.ge/images/profile24.png">
          <a:hlinkClick r:id="rId3"/>
        </xdr:cNvPr>
        <xdr:cNvSpPr>
          <a:spLocks noChangeAspect="1"/>
        </xdr:cNvSpPr>
      </xdr:nvSpPr>
      <xdr:spPr>
        <a:xfrm>
          <a:off x="0" y="2570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67</xdr:row>
      <xdr:rowOff>0</xdr:rowOff>
    </xdr:from>
    <xdr:ext cx="304800" cy="190500"/>
    <xdr:sp>
      <xdr:nvSpPr>
        <xdr:cNvPr id="4" name="AutoShape 47" descr="https://tenders.procurement.gov.ge/images/profile24.png">
          <a:hlinkClick r:id="rId4"/>
        </xdr:cNvPr>
        <xdr:cNvSpPr>
          <a:spLocks noChangeAspect="1"/>
        </xdr:cNvSpPr>
      </xdr:nvSpPr>
      <xdr:spPr>
        <a:xfrm>
          <a:off x="0" y="2570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157</xdr:row>
      <xdr:rowOff>0</xdr:rowOff>
    </xdr:from>
    <xdr:ext cx="304800" cy="190500"/>
    <xdr:sp>
      <xdr:nvSpPr>
        <xdr:cNvPr id="5" name="AutoShape 44" descr="https://tenders.procurement.gov.ge/images/profile24.png">
          <a:hlinkClick r:id="rId5"/>
        </xdr:cNvPr>
        <xdr:cNvSpPr>
          <a:spLocks noChangeAspect="1"/>
        </xdr:cNvSpPr>
      </xdr:nvSpPr>
      <xdr:spPr>
        <a:xfrm>
          <a:off x="0" y="5999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156</xdr:row>
      <xdr:rowOff>0</xdr:rowOff>
    </xdr:from>
    <xdr:ext cx="304800" cy="190500"/>
    <xdr:sp>
      <xdr:nvSpPr>
        <xdr:cNvPr id="6" name="AutoShape 47" descr="https://tenders.procurement.gov.ge/images/profile24.png">
          <a:hlinkClick r:id="rId6"/>
        </xdr:cNvPr>
        <xdr:cNvSpPr>
          <a:spLocks noChangeAspect="1"/>
        </xdr:cNvSpPr>
      </xdr:nvSpPr>
      <xdr:spPr>
        <a:xfrm>
          <a:off x="0" y="59616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157</xdr:row>
      <xdr:rowOff>0</xdr:rowOff>
    </xdr:from>
    <xdr:ext cx="304800" cy="190500"/>
    <xdr:sp>
      <xdr:nvSpPr>
        <xdr:cNvPr id="7" name="AutoShape 44" descr="https://tenders.procurement.gov.ge/images/profile24.png">
          <a:hlinkClick r:id="rId7"/>
        </xdr:cNvPr>
        <xdr:cNvSpPr>
          <a:spLocks noChangeAspect="1"/>
        </xdr:cNvSpPr>
      </xdr:nvSpPr>
      <xdr:spPr>
        <a:xfrm>
          <a:off x="0" y="5999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156</xdr:row>
      <xdr:rowOff>0</xdr:rowOff>
    </xdr:from>
    <xdr:ext cx="304800" cy="190500"/>
    <xdr:sp>
      <xdr:nvSpPr>
        <xdr:cNvPr id="8" name="AutoShape 47" descr="https://tenders.procurement.gov.ge/images/profile24.png">
          <a:hlinkClick r:id="rId8"/>
        </xdr:cNvPr>
        <xdr:cNvSpPr>
          <a:spLocks noChangeAspect="1"/>
        </xdr:cNvSpPr>
      </xdr:nvSpPr>
      <xdr:spPr>
        <a:xfrm>
          <a:off x="0" y="59616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189</xdr:row>
      <xdr:rowOff>0</xdr:rowOff>
    </xdr:from>
    <xdr:ext cx="304800" cy="190500"/>
    <xdr:sp>
      <xdr:nvSpPr>
        <xdr:cNvPr id="9" name="AutoShape 44" descr="https://tenders.procurement.gov.ge/images/profile24.png">
          <a:hlinkClick r:id="rId9"/>
        </xdr:cNvPr>
        <xdr:cNvSpPr>
          <a:spLocks noChangeAspect="1"/>
        </xdr:cNvSpPr>
      </xdr:nvSpPr>
      <xdr:spPr>
        <a:xfrm>
          <a:off x="0" y="72189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189</xdr:row>
      <xdr:rowOff>0</xdr:rowOff>
    </xdr:from>
    <xdr:ext cx="304800" cy="190500"/>
    <xdr:sp>
      <xdr:nvSpPr>
        <xdr:cNvPr id="10" name="AutoShape 47" descr="https://tenders.procurement.gov.ge/images/profile24.png">
          <a:hlinkClick r:id="rId10"/>
        </xdr:cNvPr>
        <xdr:cNvSpPr>
          <a:spLocks noChangeAspect="1"/>
        </xdr:cNvSpPr>
      </xdr:nvSpPr>
      <xdr:spPr>
        <a:xfrm>
          <a:off x="0" y="72189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189</xdr:row>
      <xdr:rowOff>0</xdr:rowOff>
    </xdr:from>
    <xdr:ext cx="304800" cy="190500"/>
    <xdr:sp>
      <xdr:nvSpPr>
        <xdr:cNvPr id="11" name="AutoShape 44" descr="https://tenders.procurement.gov.ge/images/profile24.png">
          <a:hlinkClick r:id="rId11"/>
        </xdr:cNvPr>
        <xdr:cNvSpPr>
          <a:spLocks noChangeAspect="1"/>
        </xdr:cNvSpPr>
      </xdr:nvSpPr>
      <xdr:spPr>
        <a:xfrm>
          <a:off x="0" y="72189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189</xdr:row>
      <xdr:rowOff>0</xdr:rowOff>
    </xdr:from>
    <xdr:ext cx="304800" cy="190500"/>
    <xdr:sp>
      <xdr:nvSpPr>
        <xdr:cNvPr id="12" name="AutoShape 47" descr="https://tenders.procurement.gov.ge/images/profile24.png">
          <a:hlinkClick r:id="rId12"/>
        </xdr:cNvPr>
        <xdr:cNvSpPr>
          <a:spLocks noChangeAspect="1"/>
        </xdr:cNvSpPr>
      </xdr:nvSpPr>
      <xdr:spPr>
        <a:xfrm>
          <a:off x="0" y="72189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108</xdr:row>
      <xdr:rowOff>0</xdr:rowOff>
    </xdr:from>
    <xdr:ext cx="304800" cy="190500"/>
    <xdr:sp>
      <xdr:nvSpPr>
        <xdr:cNvPr id="13" name="AutoShape 44" descr="https://tenders.procurement.gov.ge/images/profile24.png">
          <a:hlinkClick r:id="rId13"/>
        </xdr:cNvPr>
        <xdr:cNvSpPr>
          <a:spLocks noChangeAspect="1"/>
        </xdr:cNvSpPr>
      </xdr:nvSpPr>
      <xdr:spPr>
        <a:xfrm>
          <a:off x="0" y="41328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107</xdr:row>
      <xdr:rowOff>0</xdr:rowOff>
    </xdr:from>
    <xdr:ext cx="304800" cy="190500"/>
    <xdr:sp>
      <xdr:nvSpPr>
        <xdr:cNvPr id="14" name="AutoShape 47" descr="https://tenders.procurement.gov.ge/images/profile24.png">
          <a:hlinkClick r:id="rId14"/>
        </xdr:cNvPr>
        <xdr:cNvSpPr>
          <a:spLocks noChangeAspect="1"/>
        </xdr:cNvSpPr>
      </xdr:nvSpPr>
      <xdr:spPr>
        <a:xfrm>
          <a:off x="0" y="4094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108</xdr:row>
      <xdr:rowOff>0</xdr:rowOff>
    </xdr:from>
    <xdr:ext cx="304800" cy="190500"/>
    <xdr:sp>
      <xdr:nvSpPr>
        <xdr:cNvPr id="15" name="AutoShape 44" descr="https://tenders.procurement.gov.ge/images/profile24.png">
          <a:hlinkClick r:id="rId15"/>
        </xdr:cNvPr>
        <xdr:cNvSpPr>
          <a:spLocks noChangeAspect="1"/>
        </xdr:cNvSpPr>
      </xdr:nvSpPr>
      <xdr:spPr>
        <a:xfrm>
          <a:off x="0" y="41328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107</xdr:row>
      <xdr:rowOff>0</xdr:rowOff>
    </xdr:from>
    <xdr:ext cx="304800" cy="190500"/>
    <xdr:sp>
      <xdr:nvSpPr>
        <xdr:cNvPr id="16" name="AutoShape 47" descr="https://tenders.procurement.gov.ge/images/profile24.png">
          <a:hlinkClick r:id="rId16"/>
        </xdr:cNvPr>
        <xdr:cNvSpPr>
          <a:spLocks noChangeAspect="1"/>
        </xdr:cNvSpPr>
      </xdr:nvSpPr>
      <xdr:spPr>
        <a:xfrm>
          <a:off x="0" y="4094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108</xdr:row>
      <xdr:rowOff>0</xdr:rowOff>
    </xdr:from>
    <xdr:ext cx="304800" cy="190500"/>
    <xdr:sp>
      <xdr:nvSpPr>
        <xdr:cNvPr id="17" name="AutoShape 44" descr="https://tenders.procurement.gov.ge/images/profile24.png">
          <a:hlinkClick r:id="rId17"/>
        </xdr:cNvPr>
        <xdr:cNvSpPr>
          <a:spLocks noChangeAspect="1"/>
        </xdr:cNvSpPr>
      </xdr:nvSpPr>
      <xdr:spPr>
        <a:xfrm>
          <a:off x="0" y="41328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107</xdr:row>
      <xdr:rowOff>0</xdr:rowOff>
    </xdr:from>
    <xdr:ext cx="304800" cy="190500"/>
    <xdr:sp>
      <xdr:nvSpPr>
        <xdr:cNvPr id="18" name="AutoShape 47" descr="https://tenders.procurement.gov.ge/images/profile24.png">
          <a:hlinkClick r:id="rId18"/>
        </xdr:cNvPr>
        <xdr:cNvSpPr>
          <a:spLocks noChangeAspect="1"/>
        </xdr:cNvSpPr>
      </xdr:nvSpPr>
      <xdr:spPr>
        <a:xfrm>
          <a:off x="0" y="40947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144</xdr:row>
      <xdr:rowOff>0</xdr:rowOff>
    </xdr:from>
    <xdr:ext cx="304800" cy="485775"/>
    <xdr:sp>
      <xdr:nvSpPr>
        <xdr:cNvPr id="19" name="AutoShape 44" descr="https://tenders.procurement.gov.ge/images/profile24.png">
          <a:hlinkClick r:id="rId19"/>
        </xdr:cNvPr>
        <xdr:cNvSpPr>
          <a:spLocks noChangeAspect="1"/>
        </xdr:cNvSpPr>
      </xdr:nvSpPr>
      <xdr:spPr>
        <a:xfrm>
          <a:off x="0" y="55044975"/>
          <a:ext cx="30480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143</xdr:row>
      <xdr:rowOff>0</xdr:rowOff>
    </xdr:from>
    <xdr:ext cx="304800" cy="762000"/>
    <xdr:sp>
      <xdr:nvSpPr>
        <xdr:cNvPr id="20" name="AutoShape 47" descr="https://tenders.procurement.gov.ge/images/profile24.png">
          <a:hlinkClick r:id="rId20"/>
        </xdr:cNvPr>
        <xdr:cNvSpPr>
          <a:spLocks noChangeAspect="1"/>
        </xdr:cNvSpPr>
      </xdr:nvSpPr>
      <xdr:spPr>
        <a:xfrm>
          <a:off x="0" y="54663975"/>
          <a:ext cx="30480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116</xdr:row>
      <xdr:rowOff>0</xdr:rowOff>
    </xdr:from>
    <xdr:ext cx="304800" cy="571500"/>
    <xdr:sp>
      <xdr:nvSpPr>
        <xdr:cNvPr id="21" name="AutoShape 44" descr="https://tenders.procurement.gov.ge/images/profile24.png">
          <a:hlinkClick r:id="rId21"/>
        </xdr:cNvPr>
        <xdr:cNvSpPr>
          <a:spLocks noChangeAspect="1"/>
        </xdr:cNvSpPr>
      </xdr:nvSpPr>
      <xdr:spPr>
        <a:xfrm>
          <a:off x="0" y="44376975"/>
          <a:ext cx="3048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115</xdr:row>
      <xdr:rowOff>0</xdr:rowOff>
    </xdr:from>
    <xdr:ext cx="304800" cy="190500"/>
    <xdr:sp>
      <xdr:nvSpPr>
        <xdr:cNvPr id="22" name="AutoShape 47" descr="https://tenders.procurement.gov.ge/images/profile24.png">
          <a:hlinkClick r:id="rId22"/>
        </xdr:cNvPr>
        <xdr:cNvSpPr>
          <a:spLocks noChangeAspect="1"/>
        </xdr:cNvSpPr>
      </xdr:nvSpPr>
      <xdr:spPr>
        <a:xfrm>
          <a:off x="0" y="43995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152</xdr:row>
      <xdr:rowOff>0</xdr:rowOff>
    </xdr:from>
    <xdr:ext cx="304800" cy="561975"/>
    <xdr:sp>
      <xdr:nvSpPr>
        <xdr:cNvPr id="23" name="AutoShape 44" descr="https://tenders.procurement.gov.ge/images/profile24.png">
          <a:hlinkClick r:id="rId23"/>
        </xdr:cNvPr>
        <xdr:cNvSpPr>
          <a:spLocks noChangeAspect="1"/>
        </xdr:cNvSpPr>
      </xdr:nvSpPr>
      <xdr:spPr>
        <a:xfrm>
          <a:off x="0" y="58092975"/>
          <a:ext cx="30480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151</xdr:row>
      <xdr:rowOff>0</xdr:rowOff>
    </xdr:from>
    <xdr:ext cx="304800" cy="571500"/>
    <xdr:sp>
      <xdr:nvSpPr>
        <xdr:cNvPr id="24" name="AutoShape 47" descr="https://tenders.procurement.gov.ge/images/profile24.png">
          <a:hlinkClick r:id="rId24"/>
        </xdr:cNvPr>
        <xdr:cNvSpPr>
          <a:spLocks noChangeAspect="1"/>
        </xdr:cNvSpPr>
      </xdr:nvSpPr>
      <xdr:spPr>
        <a:xfrm>
          <a:off x="0" y="57711975"/>
          <a:ext cx="3048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202</xdr:row>
      <xdr:rowOff>0</xdr:rowOff>
    </xdr:from>
    <xdr:ext cx="304800" cy="190500"/>
    <xdr:sp>
      <xdr:nvSpPr>
        <xdr:cNvPr id="25" name="AutoShape 44" descr="https://tenders.procurement.gov.ge/images/profile24.png">
          <a:hlinkClick r:id="rId25"/>
        </xdr:cNvPr>
        <xdr:cNvSpPr>
          <a:spLocks noChangeAspect="1"/>
        </xdr:cNvSpPr>
      </xdr:nvSpPr>
      <xdr:spPr>
        <a:xfrm>
          <a:off x="0" y="77142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202</xdr:row>
      <xdr:rowOff>0</xdr:rowOff>
    </xdr:from>
    <xdr:ext cx="304800" cy="190500"/>
    <xdr:sp>
      <xdr:nvSpPr>
        <xdr:cNvPr id="26" name="AutoShape 47" descr="https://tenders.procurement.gov.ge/images/profile24.png">
          <a:hlinkClick r:id="rId26"/>
        </xdr:cNvPr>
        <xdr:cNvSpPr>
          <a:spLocks noChangeAspect="1"/>
        </xdr:cNvSpPr>
      </xdr:nvSpPr>
      <xdr:spPr>
        <a:xfrm>
          <a:off x="0" y="77142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202</xdr:row>
      <xdr:rowOff>0</xdr:rowOff>
    </xdr:from>
    <xdr:ext cx="304800" cy="190500"/>
    <xdr:sp>
      <xdr:nvSpPr>
        <xdr:cNvPr id="27" name="AutoShape 44" descr="https://tenders.procurement.gov.ge/images/profile24.png">
          <a:hlinkClick r:id="rId27"/>
        </xdr:cNvPr>
        <xdr:cNvSpPr>
          <a:spLocks noChangeAspect="1"/>
        </xdr:cNvSpPr>
      </xdr:nvSpPr>
      <xdr:spPr>
        <a:xfrm>
          <a:off x="0" y="77142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202</xdr:row>
      <xdr:rowOff>0</xdr:rowOff>
    </xdr:from>
    <xdr:ext cx="304800" cy="190500"/>
    <xdr:sp>
      <xdr:nvSpPr>
        <xdr:cNvPr id="28" name="AutoShape 47" descr="https://tenders.procurement.gov.ge/images/profile24.png">
          <a:hlinkClick r:id="rId28"/>
        </xdr:cNvPr>
        <xdr:cNvSpPr>
          <a:spLocks noChangeAspect="1"/>
        </xdr:cNvSpPr>
      </xdr:nvSpPr>
      <xdr:spPr>
        <a:xfrm>
          <a:off x="0" y="77142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180</xdr:row>
      <xdr:rowOff>0</xdr:rowOff>
    </xdr:from>
    <xdr:ext cx="304800" cy="190500"/>
    <xdr:sp>
      <xdr:nvSpPr>
        <xdr:cNvPr id="29" name="AutoShape 44" descr="https://tenders.procurement.gov.ge/images/profile24.png">
          <a:hlinkClick r:id="rId29"/>
        </xdr:cNvPr>
        <xdr:cNvSpPr>
          <a:spLocks noChangeAspect="1"/>
        </xdr:cNvSpPr>
      </xdr:nvSpPr>
      <xdr:spPr>
        <a:xfrm>
          <a:off x="0" y="68760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179</xdr:row>
      <xdr:rowOff>0</xdr:rowOff>
    </xdr:from>
    <xdr:ext cx="304800" cy="190500"/>
    <xdr:sp>
      <xdr:nvSpPr>
        <xdr:cNvPr id="30" name="AutoShape 47" descr="https://tenders.procurement.gov.ge/images/profile24.png">
          <a:hlinkClick r:id="rId30"/>
        </xdr:cNvPr>
        <xdr:cNvSpPr>
          <a:spLocks noChangeAspect="1"/>
        </xdr:cNvSpPr>
      </xdr:nvSpPr>
      <xdr:spPr>
        <a:xfrm>
          <a:off x="0" y="683799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67</xdr:row>
      <xdr:rowOff>0</xdr:rowOff>
    </xdr:from>
    <xdr:ext cx="304800" cy="0"/>
    <xdr:sp>
      <xdr:nvSpPr>
        <xdr:cNvPr id="31" name="AutoShape 47" descr="https://tenders.procurement.gov.ge/images/profile24.png">
          <a:hlinkClick r:id="rId31"/>
        </xdr:cNvPr>
        <xdr:cNvSpPr>
          <a:spLocks noChangeAspect="1"/>
        </xdr:cNvSpPr>
      </xdr:nvSpPr>
      <xdr:spPr>
        <a:xfrm>
          <a:off x="0" y="25707975"/>
          <a:ext cx="3048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L197"/>
  <sheetViews>
    <sheetView tabSelected="1" zoomScalePageLayoutView="0" workbookViewId="0" topLeftCell="A1">
      <selection activeCell="E127" sqref="E127"/>
    </sheetView>
  </sheetViews>
  <sheetFormatPr defaultColWidth="9.140625" defaultRowHeight="15"/>
  <cols>
    <col min="1" max="1" width="14.140625" style="0" customWidth="1"/>
    <col min="2" max="2" width="17.8515625" style="0" customWidth="1"/>
    <col min="3" max="3" width="17.140625" style="0" customWidth="1"/>
    <col min="4" max="4" width="16.57421875" style="0" customWidth="1"/>
    <col min="5" max="5" width="17.28125" style="0" customWidth="1"/>
    <col min="6" max="6" width="26.00390625" style="0" customWidth="1"/>
    <col min="7" max="7" width="23.8515625" style="0" customWidth="1"/>
    <col min="8" max="8" width="23.7109375" style="0" customWidth="1"/>
    <col min="9" max="9" width="14.57421875" style="0" customWidth="1"/>
    <col min="10" max="10" width="20.28125" style="0" customWidth="1"/>
    <col min="11" max="11" width="17.00390625" style="0" customWidth="1"/>
    <col min="12" max="12" width="40.421875" style="0" customWidth="1"/>
  </cols>
  <sheetData>
    <row r="1" spans="1:12" ht="30" customHeight="1">
      <c r="A1" s="235" t="s">
        <v>500</v>
      </c>
      <c r="B1" s="235"/>
      <c r="C1" s="235"/>
      <c r="D1" s="235"/>
      <c r="E1" s="235"/>
      <c r="F1" s="235"/>
      <c r="G1" s="235"/>
      <c r="H1" s="235"/>
      <c r="I1" s="235"/>
      <c r="J1" s="235"/>
      <c r="K1" s="235"/>
      <c r="L1" s="235"/>
    </row>
    <row r="2" spans="1:12" ht="30" customHeight="1">
      <c r="A2" s="236" t="s">
        <v>570</v>
      </c>
      <c r="B2" s="237"/>
      <c r="C2" s="237"/>
      <c r="D2" s="237"/>
      <c r="E2" s="237"/>
      <c r="F2" s="237"/>
      <c r="G2" s="237"/>
      <c r="H2" s="237"/>
      <c r="I2" s="237"/>
      <c r="J2" s="237"/>
      <c r="K2" s="237"/>
      <c r="L2" s="237"/>
    </row>
    <row r="3" spans="1:12" ht="30" customHeight="1">
      <c r="A3" s="238" t="s">
        <v>13</v>
      </c>
      <c r="B3" s="238"/>
      <c r="C3" s="238"/>
      <c r="D3" s="238"/>
      <c r="E3" s="238"/>
      <c r="F3" s="238"/>
      <c r="G3" s="238"/>
      <c r="H3" s="238"/>
      <c r="I3" s="238"/>
      <c r="J3" s="238"/>
      <c r="K3" s="238"/>
      <c r="L3" s="238"/>
    </row>
    <row r="4" spans="1:12" ht="30" customHeight="1">
      <c r="A4" s="239" t="s">
        <v>501</v>
      </c>
      <c r="B4" s="239" t="s">
        <v>502</v>
      </c>
      <c r="C4" s="239" t="s">
        <v>141</v>
      </c>
      <c r="D4" s="239" t="s">
        <v>503</v>
      </c>
      <c r="E4" s="239" t="s">
        <v>504</v>
      </c>
      <c r="F4" s="239" t="s">
        <v>505</v>
      </c>
      <c r="G4" s="240" t="s">
        <v>10</v>
      </c>
      <c r="H4" s="239" t="s">
        <v>388</v>
      </c>
      <c r="I4" s="239" t="s">
        <v>506</v>
      </c>
      <c r="J4" s="239" t="s">
        <v>507</v>
      </c>
      <c r="K4" s="241" t="s">
        <v>508</v>
      </c>
      <c r="L4" s="241" t="s">
        <v>11</v>
      </c>
    </row>
    <row r="5" spans="1:12" ht="30" customHeight="1">
      <c r="A5" s="242" t="s">
        <v>509</v>
      </c>
      <c r="B5" s="242">
        <v>1605</v>
      </c>
      <c r="C5" s="242" t="s">
        <v>510</v>
      </c>
      <c r="D5" s="242" t="s">
        <v>511</v>
      </c>
      <c r="E5" s="242">
        <v>1</v>
      </c>
      <c r="F5" s="242" t="s">
        <v>512</v>
      </c>
      <c r="G5" s="242" t="s">
        <v>513</v>
      </c>
      <c r="H5" s="243"/>
      <c r="I5" s="243"/>
      <c r="J5" s="243"/>
      <c r="K5" s="244"/>
      <c r="L5" s="243"/>
    </row>
    <row r="6" spans="1:12" ht="30" customHeight="1">
      <c r="A6" s="242">
        <v>22400000</v>
      </c>
      <c r="B6" s="242">
        <v>745</v>
      </c>
      <c r="C6" s="242" t="s">
        <v>510</v>
      </c>
      <c r="D6" s="242" t="s">
        <v>511</v>
      </c>
      <c r="E6" s="242">
        <v>1</v>
      </c>
      <c r="F6" s="242" t="s">
        <v>512</v>
      </c>
      <c r="G6" s="242" t="s">
        <v>513</v>
      </c>
      <c r="H6" s="243"/>
      <c r="I6" s="243"/>
      <c r="J6" s="243"/>
      <c r="K6" s="244"/>
      <c r="L6" s="243" t="s">
        <v>514</v>
      </c>
    </row>
    <row r="7" spans="1:12" ht="30" customHeight="1">
      <c r="A7" s="242">
        <v>30100000</v>
      </c>
      <c r="B7" s="242">
        <v>4200</v>
      </c>
      <c r="C7" s="242" t="s">
        <v>515</v>
      </c>
      <c r="D7" s="242" t="s">
        <v>516</v>
      </c>
      <c r="E7" s="242">
        <v>1</v>
      </c>
      <c r="F7" s="242"/>
      <c r="G7" s="242" t="s">
        <v>513</v>
      </c>
      <c r="H7" s="243"/>
      <c r="I7" s="243"/>
      <c r="J7" s="243"/>
      <c r="K7" s="244"/>
      <c r="L7" s="243"/>
    </row>
    <row r="8" spans="1:12" ht="30" customHeight="1">
      <c r="A8" s="242">
        <v>30100000</v>
      </c>
      <c r="B8" s="242">
        <v>1179.9</v>
      </c>
      <c r="C8" s="242" t="s">
        <v>515</v>
      </c>
      <c r="D8" s="242" t="s">
        <v>511</v>
      </c>
      <c r="E8" s="242">
        <v>1</v>
      </c>
      <c r="F8" s="242"/>
      <c r="G8" s="242" t="s">
        <v>513</v>
      </c>
      <c r="H8" s="243"/>
      <c r="I8" s="243"/>
      <c r="J8" s="243"/>
      <c r="K8" s="244"/>
      <c r="L8" s="243" t="s">
        <v>517</v>
      </c>
    </row>
    <row r="9" spans="1:12" ht="30" customHeight="1">
      <c r="A9" s="242">
        <v>30100000</v>
      </c>
      <c r="B9" s="242">
        <v>50</v>
      </c>
      <c r="C9" s="242" t="s">
        <v>510</v>
      </c>
      <c r="D9" s="242" t="s">
        <v>518</v>
      </c>
      <c r="E9" s="242">
        <v>1</v>
      </c>
      <c r="F9" s="242" t="s">
        <v>512</v>
      </c>
      <c r="G9" s="242" t="s">
        <v>513</v>
      </c>
      <c r="H9" s="243"/>
      <c r="I9" s="243"/>
      <c r="J9" s="243"/>
      <c r="K9" s="244"/>
      <c r="L9" s="243"/>
    </row>
    <row r="10" spans="1:12" ht="30" customHeight="1">
      <c r="A10" s="242">
        <v>30200000</v>
      </c>
      <c r="B10" s="242">
        <v>508</v>
      </c>
      <c r="C10" s="242" t="s">
        <v>510</v>
      </c>
      <c r="D10" s="242" t="s">
        <v>519</v>
      </c>
      <c r="E10" s="242">
        <v>1</v>
      </c>
      <c r="F10" s="242" t="s">
        <v>512</v>
      </c>
      <c r="G10" s="242" t="s">
        <v>513</v>
      </c>
      <c r="H10" s="243"/>
      <c r="I10" s="243"/>
      <c r="J10" s="243"/>
      <c r="K10" s="244"/>
      <c r="L10" s="243"/>
    </row>
    <row r="11" spans="1:12" ht="30" customHeight="1">
      <c r="A11" s="242">
        <v>30200000</v>
      </c>
      <c r="B11" s="242">
        <v>1292</v>
      </c>
      <c r="C11" s="242" t="s">
        <v>510</v>
      </c>
      <c r="D11" s="242" t="s">
        <v>518</v>
      </c>
      <c r="E11" s="242">
        <v>1</v>
      </c>
      <c r="F11" s="242" t="s">
        <v>512</v>
      </c>
      <c r="G11" s="242" t="s">
        <v>513</v>
      </c>
      <c r="H11" s="243"/>
      <c r="I11" s="243"/>
      <c r="J11" s="243"/>
      <c r="K11" s="244"/>
      <c r="L11" s="243"/>
    </row>
    <row r="12" spans="1:12" ht="30" customHeight="1">
      <c r="A12" s="242">
        <v>30200000</v>
      </c>
      <c r="B12" s="242">
        <v>647</v>
      </c>
      <c r="C12" s="242" t="s">
        <v>510</v>
      </c>
      <c r="D12" s="242" t="s">
        <v>518</v>
      </c>
      <c r="E12" s="242">
        <v>1</v>
      </c>
      <c r="F12" s="242" t="s">
        <v>512</v>
      </c>
      <c r="G12" s="242" t="s">
        <v>513</v>
      </c>
      <c r="H12" s="243"/>
      <c r="I12" s="243"/>
      <c r="J12" s="243"/>
      <c r="K12" s="244"/>
      <c r="L12" s="243"/>
    </row>
    <row r="13" spans="1:12" ht="30" customHeight="1">
      <c r="A13" s="242">
        <v>30200000</v>
      </c>
      <c r="B13" s="242">
        <v>150</v>
      </c>
      <c r="C13" s="242" t="s">
        <v>510</v>
      </c>
      <c r="D13" s="242" t="s">
        <v>518</v>
      </c>
      <c r="E13" s="242">
        <v>1</v>
      </c>
      <c r="F13" s="242" t="s">
        <v>512</v>
      </c>
      <c r="G13" s="242" t="s">
        <v>513</v>
      </c>
      <c r="H13" s="243"/>
      <c r="I13" s="243"/>
      <c r="J13" s="243"/>
      <c r="K13" s="244"/>
      <c r="L13" s="243"/>
    </row>
    <row r="14" spans="1:12" ht="30" customHeight="1">
      <c r="A14" s="242">
        <v>30200000</v>
      </c>
      <c r="B14" s="242">
        <v>2469.65</v>
      </c>
      <c r="C14" s="242" t="s">
        <v>515</v>
      </c>
      <c r="D14" s="242" t="s">
        <v>511</v>
      </c>
      <c r="E14" s="242">
        <v>1</v>
      </c>
      <c r="F14" s="242"/>
      <c r="G14" s="242" t="s">
        <v>513</v>
      </c>
      <c r="H14" s="243"/>
      <c r="I14" s="243"/>
      <c r="J14" s="243"/>
      <c r="K14" s="244"/>
      <c r="L14" s="243" t="s">
        <v>520</v>
      </c>
    </row>
    <row r="15" spans="1:12" ht="30" customHeight="1">
      <c r="A15" s="242">
        <v>30200000</v>
      </c>
      <c r="B15" s="242">
        <v>1137</v>
      </c>
      <c r="C15" s="242" t="s">
        <v>515</v>
      </c>
      <c r="D15" s="242" t="s">
        <v>518</v>
      </c>
      <c r="E15" s="242">
        <v>1</v>
      </c>
      <c r="F15" s="242"/>
      <c r="G15" s="242" t="s">
        <v>513</v>
      </c>
      <c r="H15" s="243"/>
      <c r="I15" s="243"/>
      <c r="J15" s="243"/>
      <c r="K15" s="244"/>
      <c r="L15" s="243" t="s">
        <v>521</v>
      </c>
    </row>
    <row r="16" spans="1:12" ht="30" customHeight="1">
      <c r="A16" s="242">
        <v>30200000</v>
      </c>
      <c r="B16" s="242">
        <v>1259.99</v>
      </c>
      <c r="C16" s="242" t="s">
        <v>515</v>
      </c>
      <c r="D16" s="242" t="s">
        <v>518</v>
      </c>
      <c r="E16" s="242">
        <v>1</v>
      </c>
      <c r="F16" s="242"/>
      <c r="G16" s="242" t="s">
        <v>513</v>
      </c>
      <c r="H16" s="243"/>
      <c r="I16" s="243"/>
      <c r="J16" s="243"/>
      <c r="K16" s="244"/>
      <c r="L16" s="243" t="s">
        <v>522</v>
      </c>
    </row>
    <row r="17" spans="1:12" ht="30" customHeight="1">
      <c r="A17" s="242">
        <v>31500000</v>
      </c>
      <c r="B17" s="242">
        <v>27.9</v>
      </c>
      <c r="C17" s="242" t="s">
        <v>510</v>
      </c>
      <c r="D17" s="242" t="s">
        <v>511</v>
      </c>
      <c r="E17" s="242">
        <v>1</v>
      </c>
      <c r="F17" s="242" t="s">
        <v>512</v>
      </c>
      <c r="G17" s="242" t="s">
        <v>513</v>
      </c>
      <c r="H17" s="243"/>
      <c r="I17" s="243"/>
      <c r="J17" s="243"/>
      <c r="K17" s="244"/>
      <c r="L17" s="243"/>
    </row>
    <row r="18" spans="1:12" ht="30" customHeight="1">
      <c r="A18" s="242">
        <v>33700000</v>
      </c>
      <c r="B18" s="242">
        <v>554</v>
      </c>
      <c r="C18" s="242" t="s">
        <v>510</v>
      </c>
      <c r="D18" s="242" t="s">
        <v>523</v>
      </c>
      <c r="E18" s="242">
        <v>1</v>
      </c>
      <c r="F18" s="242" t="s">
        <v>512</v>
      </c>
      <c r="G18" s="242" t="s">
        <v>513</v>
      </c>
      <c r="H18" s="243"/>
      <c r="I18" s="243"/>
      <c r="J18" s="243"/>
      <c r="K18" s="244"/>
      <c r="L18" s="243"/>
    </row>
    <row r="19" spans="1:12" ht="30" customHeight="1">
      <c r="A19" s="242">
        <v>33700000</v>
      </c>
      <c r="B19" s="242">
        <v>2680</v>
      </c>
      <c r="C19" s="242" t="s">
        <v>510</v>
      </c>
      <c r="D19" s="242" t="s">
        <v>516</v>
      </c>
      <c r="E19" s="242">
        <v>1</v>
      </c>
      <c r="F19" s="242" t="s">
        <v>512</v>
      </c>
      <c r="G19" s="242" t="s">
        <v>513</v>
      </c>
      <c r="H19" s="243"/>
      <c r="I19" s="243"/>
      <c r="J19" s="243"/>
      <c r="K19" s="244"/>
      <c r="L19" s="243"/>
    </row>
    <row r="20" spans="1:12" ht="30" customHeight="1">
      <c r="A20" s="242">
        <v>37500000</v>
      </c>
      <c r="B20" s="242">
        <v>124.8</v>
      </c>
      <c r="C20" s="242" t="s">
        <v>510</v>
      </c>
      <c r="D20" s="242" t="s">
        <v>511</v>
      </c>
      <c r="E20" s="242">
        <v>1</v>
      </c>
      <c r="F20" s="242" t="s">
        <v>512</v>
      </c>
      <c r="G20" s="242" t="s">
        <v>513</v>
      </c>
      <c r="H20" s="243"/>
      <c r="I20" s="243"/>
      <c r="J20" s="243"/>
      <c r="K20" s="244"/>
      <c r="L20" s="243"/>
    </row>
    <row r="21" spans="1:12" ht="30" customHeight="1">
      <c r="A21" s="242">
        <v>39200000</v>
      </c>
      <c r="B21" s="242">
        <v>595</v>
      </c>
      <c r="C21" s="242" t="s">
        <v>510</v>
      </c>
      <c r="D21" s="242" t="s">
        <v>511</v>
      </c>
      <c r="E21" s="242">
        <v>1</v>
      </c>
      <c r="F21" s="242" t="s">
        <v>512</v>
      </c>
      <c r="G21" s="242" t="s">
        <v>513</v>
      </c>
      <c r="H21" s="243"/>
      <c r="I21" s="243"/>
      <c r="J21" s="243"/>
      <c r="K21" s="244"/>
      <c r="L21" s="243"/>
    </row>
    <row r="22" spans="1:12" ht="30" customHeight="1">
      <c r="A22" s="242">
        <v>39200000</v>
      </c>
      <c r="B22" s="242">
        <v>1225</v>
      </c>
      <c r="C22" s="242" t="s">
        <v>510</v>
      </c>
      <c r="D22" s="242" t="s">
        <v>523</v>
      </c>
      <c r="E22" s="242">
        <v>1</v>
      </c>
      <c r="F22" s="242" t="s">
        <v>512</v>
      </c>
      <c r="G22" s="242" t="s">
        <v>513</v>
      </c>
      <c r="H22" s="243"/>
      <c r="I22" s="243"/>
      <c r="J22" s="243"/>
      <c r="K22" s="244"/>
      <c r="L22" s="243"/>
    </row>
    <row r="23" spans="1:12" ht="30" customHeight="1">
      <c r="A23" s="242">
        <v>39500000</v>
      </c>
      <c r="B23" s="242">
        <v>276</v>
      </c>
      <c r="C23" s="242" t="s">
        <v>510</v>
      </c>
      <c r="D23" s="242" t="s">
        <v>523</v>
      </c>
      <c r="E23" s="242">
        <v>1</v>
      </c>
      <c r="F23" s="242" t="s">
        <v>512</v>
      </c>
      <c r="G23" s="242" t="s">
        <v>513</v>
      </c>
      <c r="H23" s="243"/>
      <c r="I23" s="243"/>
      <c r="J23" s="243"/>
      <c r="K23" s="244"/>
      <c r="L23" s="243"/>
    </row>
    <row r="24" spans="1:12" ht="30" customHeight="1">
      <c r="A24" s="242">
        <v>39500000</v>
      </c>
      <c r="B24" s="242">
        <v>375</v>
      </c>
      <c r="C24" s="242" t="s">
        <v>510</v>
      </c>
      <c r="D24" s="242" t="s">
        <v>523</v>
      </c>
      <c r="E24" s="242">
        <v>1</v>
      </c>
      <c r="F24" s="242" t="s">
        <v>512</v>
      </c>
      <c r="G24" s="242" t="s">
        <v>513</v>
      </c>
      <c r="H24" s="243"/>
      <c r="I24" s="243"/>
      <c r="J24" s="243"/>
      <c r="K24" s="244"/>
      <c r="L24" s="243"/>
    </row>
    <row r="25" spans="1:12" ht="30" customHeight="1">
      <c r="A25" s="242">
        <v>39700000</v>
      </c>
      <c r="B25" s="242">
        <v>100</v>
      </c>
      <c r="C25" s="242" t="s">
        <v>510</v>
      </c>
      <c r="D25" s="242" t="s">
        <v>518</v>
      </c>
      <c r="E25" s="242">
        <v>1</v>
      </c>
      <c r="F25" s="242" t="s">
        <v>512</v>
      </c>
      <c r="G25" s="242" t="s">
        <v>513</v>
      </c>
      <c r="H25" s="243"/>
      <c r="I25" s="243"/>
      <c r="J25" s="243"/>
      <c r="K25" s="244"/>
      <c r="L25" s="243"/>
    </row>
    <row r="26" spans="1:12" ht="30" customHeight="1">
      <c r="A26" s="242">
        <v>39800000</v>
      </c>
      <c r="B26" s="242">
        <v>4708</v>
      </c>
      <c r="C26" s="242" t="s">
        <v>510</v>
      </c>
      <c r="D26" s="242" t="s">
        <v>518</v>
      </c>
      <c r="E26" s="242">
        <v>1</v>
      </c>
      <c r="F26" s="242" t="s">
        <v>512</v>
      </c>
      <c r="G26" s="242" t="s">
        <v>513</v>
      </c>
      <c r="H26" s="243"/>
      <c r="I26" s="243"/>
      <c r="J26" s="243"/>
      <c r="K26" s="244"/>
      <c r="L26" s="243"/>
    </row>
    <row r="27" spans="1:12" ht="30" customHeight="1">
      <c r="A27" s="242">
        <v>41100000</v>
      </c>
      <c r="B27" s="242">
        <v>7200</v>
      </c>
      <c r="C27" s="242" t="s">
        <v>524</v>
      </c>
      <c r="D27" s="242" t="s">
        <v>523</v>
      </c>
      <c r="E27" s="242">
        <v>1</v>
      </c>
      <c r="F27" s="242"/>
      <c r="G27" s="242" t="s">
        <v>513</v>
      </c>
      <c r="H27" s="243"/>
      <c r="I27" s="243"/>
      <c r="J27" s="243"/>
      <c r="K27" s="244"/>
      <c r="L27" s="243"/>
    </row>
    <row r="28" spans="1:12" ht="30" customHeight="1">
      <c r="A28" s="242">
        <v>50100000</v>
      </c>
      <c r="B28" s="242">
        <v>3624</v>
      </c>
      <c r="C28" s="242" t="s">
        <v>510</v>
      </c>
      <c r="D28" s="242" t="s">
        <v>511</v>
      </c>
      <c r="E28" s="242">
        <v>1</v>
      </c>
      <c r="F28" s="242" t="s">
        <v>512</v>
      </c>
      <c r="G28" s="242" t="s">
        <v>513</v>
      </c>
      <c r="H28" s="243"/>
      <c r="I28" s="243"/>
      <c r="J28" s="243"/>
      <c r="K28" s="244"/>
      <c r="L28" s="243"/>
    </row>
    <row r="29" spans="1:12" ht="30" customHeight="1">
      <c r="A29" s="242">
        <v>50500000</v>
      </c>
      <c r="B29" s="242">
        <v>900</v>
      </c>
      <c r="C29" s="242" t="s">
        <v>510</v>
      </c>
      <c r="D29" s="242" t="s">
        <v>518</v>
      </c>
      <c r="E29" s="242">
        <v>1</v>
      </c>
      <c r="F29" s="242" t="s">
        <v>512</v>
      </c>
      <c r="G29" s="242" t="s">
        <v>513</v>
      </c>
      <c r="H29" s="243"/>
      <c r="I29" s="243"/>
      <c r="J29" s="243"/>
      <c r="K29" s="244"/>
      <c r="L29" s="243"/>
    </row>
    <row r="30" spans="1:12" ht="30" customHeight="1">
      <c r="A30" s="242">
        <v>50500000</v>
      </c>
      <c r="B30" s="242">
        <v>350</v>
      </c>
      <c r="C30" s="242" t="s">
        <v>510</v>
      </c>
      <c r="D30" s="242" t="s">
        <v>518</v>
      </c>
      <c r="E30" s="242">
        <v>1</v>
      </c>
      <c r="F30" s="242" t="s">
        <v>512</v>
      </c>
      <c r="G30" s="242" t="s">
        <v>513</v>
      </c>
      <c r="H30" s="243"/>
      <c r="I30" s="243"/>
      <c r="J30" s="243"/>
      <c r="K30" s="244"/>
      <c r="L30" s="243"/>
    </row>
    <row r="31" spans="1:12" ht="30" customHeight="1">
      <c r="A31" s="242">
        <v>55300000</v>
      </c>
      <c r="B31" s="242">
        <v>10</v>
      </c>
      <c r="C31" s="242" t="s">
        <v>510</v>
      </c>
      <c r="D31" s="242" t="s">
        <v>518</v>
      </c>
      <c r="E31" s="242">
        <v>1</v>
      </c>
      <c r="F31" s="242" t="s">
        <v>525</v>
      </c>
      <c r="G31" s="242" t="s">
        <v>513</v>
      </c>
      <c r="H31" s="243"/>
      <c r="I31" s="243"/>
      <c r="J31" s="243"/>
      <c r="K31" s="244"/>
      <c r="L31" s="243"/>
    </row>
    <row r="32" spans="1:12" ht="30" customHeight="1">
      <c r="A32" s="242">
        <v>60100000</v>
      </c>
      <c r="B32" s="242">
        <v>3900</v>
      </c>
      <c r="C32" s="242" t="s">
        <v>510</v>
      </c>
      <c r="D32" s="242" t="s">
        <v>518</v>
      </c>
      <c r="E32" s="242">
        <v>1</v>
      </c>
      <c r="F32" s="242" t="s">
        <v>512</v>
      </c>
      <c r="G32" s="242" t="s">
        <v>513</v>
      </c>
      <c r="H32" s="243"/>
      <c r="I32" s="243"/>
      <c r="J32" s="243"/>
      <c r="K32" s="244"/>
      <c r="L32" s="243"/>
    </row>
    <row r="33" spans="1:12" ht="30" customHeight="1">
      <c r="A33" s="242">
        <v>63500000</v>
      </c>
      <c r="B33" s="242">
        <v>3244.4</v>
      </c>
      <c r="C33" s="242" t="s">
        <v>510</v>
      </c>
      <c r="D33" s="242" t="s">
        <v>523</v>
      </c>
      <c r="E33" s="242">
        <v>1</v>
      </c>
      <c r="F33" s="242" t="s">
        <v>512</v>
      </c>
      <c r="G33" s="242" t="s">
        <v>513</v>
      </c>
      <c r="H33" s="243"/>
      <c r="I33" s="243"/>
      <c r="J33" s="243"/>
      <c r="K33" s="244"/>
      <c r="L33" s="243"/>
    </row>
    <row r="34" spans="1:12" ht="30" customHeight="1">
      <c r="A34" s="242">
        <v>64100000</v>
      </c>
      <c r="B34" s="242">
        <v>10</v>
      </c>
      <c r="C34" s="242" t="s">
        <v>510</v>
      </c>
      <c r="D34" s="242" t="s">
        <v>511</v>
      </c>
      <c r="E34" s="242">
        <v>1</v>
      </c>
      <c r="F34" s="242" t="s">
        <v>512</v>
      </c>
      <c r="G34" s="242" t="s">
        <v>513</v>
      </c>
      <c r="H34" s="243"/>
      <c r="I34" s="243"/>
      <c r="J34" s="243"/>
      <c r="K34" s="244"/>
      <c r="L34" s="243"/>
    </row>
    <row r="35" spans="1:12" ht="30" customHeight="1">
      <c r="A35" s="242">
        <v>64100000</v>
      </c>
      <c r="B35" s="242">
        <v>500</v>
      </c>
      <c r="C35" s="242" t="s">
        <v>510</v>
      </c>
      <c r="D35" s="242" t="s">
        <v>518</v>
      </c>
      <c r="E35" s="242">
        <v>1</v>
      </c>
      <c r="F35" s="242" t="s">
        <v>512</v>
      </c>
      <c r="G35" s="242" t="s">
        <v>513</v>
      </c>
      <c r="H35" s="243"/>
      <c r="I35" s="243"/>
      <c r="J35" s="243"/>
      <c r="K35" s="244"/>
      <c r="L35" s="243"/>
    </row>
    <row r="36" spans="1:12" ht="30" customHeight="1">
      <c r="A36" s="242">
        <v>64200000</v>
      </c>
      <c r="B36" s="242">
        <v>40</v>
      </c>
      <c r="C36" s="242" t="s">
        <v>510</v>
      </c>
      <c r="D36" s="242" t="s">
        <v>511</v>
      </c>
      <c r="E36" s="242">
        <v>1</v>
      </c>
      <c r="F36" s="242" t="s">
        <v>512</v>
      </c>
      <c r="G36" s="242" t="s">
        <v>513</v>
      </c>
      <c r="H36" s="243"/>
      <c r="I36" s="243"/>
      <c r="J36" s="243"/>
      <c r="K36" s="244"/>
      <c r="L36" s="243"/>
    </row>
    <row r="37" spans="1:12" ht="30" customHeight="1">
      <c r="A37" s="242">
        <v>64200000</v>
      </c>
      <c r="B37" s="242">
        <v>12500</v>
      </c>
      <c r="C37" s="242" t="s">
        <v>515</v>
      </c>
      <c r="D37" s="242" t="s">
        <v>518</v>
      </c>
      <c r="E37" s="242">
        <v>1</v>
      </c>
      <c r="F37" s="242"/>
      <c r="G37" s="242" t="s">
        <v>513</v>
      </c>
      <c r="H37" s="243"/>
      <c r="I37" s="243"/>
      <c r="J37" s="243"/>
      <c r="K37" s="244"/>
      <c r="L37" s="243"/>
    </row>
    <row r="38" spans="1:12" ht="30" customHeight="1">
      <c r="A38" s="242">
        <v>64200000</v>
      </c>
      <c r="B38" s="242">
        <v>2000</v>
      </c>
      <c r="C38" s="242" t="s">
        <v>510</v>
      </c>
      <c r="D38" s="242" t="s">
        <v>518</v>
      </c>
      <c r="E38" s="242">
        <v>1</v>
      </c>
      <c r="F38" s="242" t="s">
        <v>526</v>
      </c>
      <c r="G38" s="242" t="s">
        <v>513</v>
      </c>
      <c r="H38" s="243"/>
      <c r="I38" s="243"/>
      <c r="J38" s="243"/>
      <c r="K38" s="244"/>
      <c r="L38" s="243"/>
    </row>
    <row r="39" spans="1:12" ht="30" customHeight="1">
      <c r="A39" s="242">
        <v>66500000</v>
      </c>
      <c r="B39" s="242">
        <v>550</v>
      </c>
      <c r="C39" s="242" t="s">
        <v>510</v>
      </c>
      <c r="D39" s="242" t="s">
        <v>518</v>
      </c>
      <c r="E39" s="242">
        <v>1</v>
      </c>
      <c r="F39" s="242" t="s">
        <v>512</v>
      </c>
      <c r="G39" s="242" t="s">
        <v>513</v>
      </c>
      <c r="H39" s="243"/>
      <c r="I39" s="243"/>
      <c r="J39" s="243"/>
      <c r="K39" s="244"/>
      <c r="L39" s="245" t="s">
        <v>189</v>
      </c>
    </row>
    <row r="40" spans="1:12" ht="30" customHeight="1">
      <c r="A40" s="242">
        <v>71300000</v>
      </c>
      <c r="B40" s="242">
        <v>3433.77</v>
      </c>
      <c r="C40" s="242" t="s">
        <v>510</v>
      </c>
      <c r="D40" s="242" t="s">
        <v>523</v>
      </c>
      <c r="E40" s="242">
        <v>1</v>
      </c>
      <c r="F40" s="242" t="s">
        <v>512</v>
      </c>
      <c r="G40" s="242" t="s">
        <v>513</v>
      </c>
      <c r="H40" s="243"/>
      <c r="I40" s="243"/>
      <c r="J40" s="243"/>
      <c r="K40" s="244"/>
      <c r="L40" s="245" t="s">
        <v>527</v>
      </c>
    </row>
    <row r="41" spans="1:12" ht="30" customHeight="1">
      <c r="A41" s="242">
        <v>72300000</v>
      </c>
      <c r="B41" s="242">
        <v>288</v>
      </c>
      <c r="C41" s="242" t="s">
        <v>510</v>
      </c>
      <c r="D41" s="242" t="s">
        <v>519</v>
      </c>
      <c r="E41" s="242">
        <v>1</v>
      </c>
      <c r="F41" s="242" t="s">
        <v>526</v>
      </c>
      <c r="G41" s="242" t="s">
        <v>513</v>
      </c>
      <c r="H41" s="243"/>
      <c r="I41" s="243"/>
      <c r="J41" s="243"/>
      <c r="K41" s="244"/>
      <c r="L41" s="243"/>
    </row>
    <row r="42" spans="1:12" ht="30" customHeight="1">
      <c r="A42" s="242">
        <v>72300000</v>
      </c>
      <c r="B42" s="242">
        <v>10</v>
      </c>
      <c r="C42" s="242" t="s">
        <v>510</v>
      </c>
      <c r="D42" s="242" t="s">
        <v>518</v>
      </c>
      <c r="E42" s="242">
        <v>1</v>
      </c>
      <c r="F42" s="242" t="s">
        <v>512</v>
      </c>
      <c r="G42" s="242" t="s">
        <v>513</v>
      </c>
      <c r="H42" s="243"/>
      <c r="I42" s="243"/>
      <c r="J42" s="243"/>
      <c r="K42" s="244"/>
      <c r="L42" s="243"/>
    </row>
    <row r="43" spans="1:12" ht="30" customHeight="1">
      <c r="A43" s="242">
        <v>75100000</v>
      </c>
      <c r="B43" s="242">
        <v>1000</v>
      </c>
      <c r="C43" s="242" t="s">
        <v>510</v>
      </c>
      <c r="D43" s="242" t="s">
        <v>518</v>
      </c>
      <c r="E43" s="242">
        <v>1</v>
      </c>
      <c r="F43" s="242" t="s">
        <v>526</v>
      </c>
      <c r="G43" s="242" t="s">
        <v>513</v>
      </c>
      <c r="H43" s="243"/>
      <c r="I43" s="243"/>
      <c r="J43" s="243"/>
      <c r="K43" s="244"/>
      <c r="L43" s="243"/>
    </row>
    <row r="44" spans="1:12" ht="30" customHeight="1">
      <c r="A44" s="242">
        <v>79300000</v>
      </c>
      <c r="B44" s="242">
        <v>10</v>
      </c>
      <c r="C44" s="242" t="s">
        <v>510</v>
      </c>
      <c r="D44" s="242" t="s">
        <v>518</v>
      </c>
      <c r="E44" s="242">
        <v>1</v>
      </c>
      <c r="F44" s="242" t="s">
        <v>512</v>
      </c>
      <c r="G44" s="242" t="s">
        <v>513</v>
      </c>
      <c r="H44" s="243"/>
      <c r="I44" s="243"/>
      <c r="J44" s="243"/>
      <c r="K44" s="244"/>
      <c r="L44" s="243"/>
    </row>
    <row r="45" spans="1:12" ht="30" customHeight="1">
      <c r="A45" s="242">
        <v>79500000</v>
      </c>
      <c r="B45" s="242">
        <v>4851.22</v>
      </c>
      <c r="C45" s="242" t="s">
        <v>510</v>
      </c>
      <c r="D45" s="242" t="s">
        <v>518</v>
      </c>
      <c r="E45" s="242">
        <v>1</v>
      </c>
      <c r="F45" s="242" t="s">
        <v>525</v>
      </c>
      <c r="G45" s="242" t="s">
        <v>513</v>
      </c>
      <c r="H45" s="243"/>
      <c r="I45" s="243"/>
      <c r="J45" s="243"/>
      <c r="K45" s="244"/>
      <c r="L45" s="243"/>
    </row>
    <row r="46" spans="1:12" ht="30" customHeight="1">
      <c r="A46" s="242">
        <v>79600000</v>
      </c>
      <c r="B46" s="242">
        <v>240</v>
      </c>
      <c r="C46" s="242" t="s">
        <v>510</v>
      </c>
      <c r="D46" s="242" t="s">
        <v>518</v>
      </c>
      <c r="E46" s="242">
        <v>1</v>
      </c>
      <c r="F46" s="242" t="s">
        <v>512</v>
      </c>
      <c r="G46" s="242" t="s">
        <v>513</v>
      </c>
      <c r="H46" s="243"/>
      <c r="I46" s="243"/>
      <c r="J46" s="243"/>
      <c r="K46" s="244"/>
      <c r="L46" s="243"/>
    </row>
    <row r="47" spans="1:12" ht="30" customHeight="1">
      <c r="A47" s="242">
        <v>79600000</v>
      </c>
      <c r="B47" s="242">
        <v>4367</v>
      </c>
      <c r="C47" s="242" t="s">
        <v>510</v>
      </c>
      <c r="D47" s="242" t="s">
        <v>518</v>
      </c>
      <c r="E47" s="242">
        <v>1</v>
      </c>
      <c r="F47" s="242" t="s">
        <v>512</v>
      </c>
      <c r="G47" s="242" t="s">
        <v>513</v>
      </c>
      <c r="H47" s="243"/>
      <c r="I47" s="243"/>
      <c r="J47" s="243"/>
      <c r="K47" s="244"/>
      <c r="L47" s="243"/>
    </row>
    <row r="48" spans="1:12" ht="30" customHeight="1">
      <c r="A48" s="242">
        <v>79600000</v>
      </c>
      <c r="B48" s="242">
        <v>325</v>
      </c>
      <c r="C48" s="242" t="s">
        <v>510</v>
      </c>
      <c r="D48" s="242" t="s">
        <v>528</v>
      </c>
      <c r="E48" s="242">
        <v>1</v>
      </c>
      <c r="F48" s="242" t="s">
        <v>512</v>
      </c>
      <c r="G48" s="242" t="s">
        <v>513</v>
      </c>
      <c r="H48" s="243"/>
      <c r="I48" s="243"/>
      <c r="J48" s="243"/>
      <c r="K48" s="244"/>
      <c r="L48" s="243"/>
    </row>
    <row r="49" spans="1:12" ht="30" customHeight="1">
      <c r="A49" s="242">
        <v>79700000</v>
      </c>
      <c r="B49" s="242">
        <v>61200</v>
      </c>
      <c r="C49" s="242" t="s">
        <v>510</v>
      </c>
      <c r="D49" s="242" t="s">
        <v>518</v>
      </c>
      <c r="E49" s="242">
        <v>1</v>
      </c>
      <c r="F49" s="242" t="s">
        <v>529</v>
      </c>
      <c r="G49" s="242" t="s">
        <v>513</v>
      </c>
      <c r="H49" s="243"/>
      <c r="I49" s="243"/>
      <c r="J49" s="243"/>
      <c r="K49" s="244"/>
      <c r="L49" s="243"/>
    </row>
    <row r="50" spans="1:12" ht="30" customHeight="1">
      <c r="A50" s="242">
        <v>79800000</v>
      </c>
      <c r="B50" s="242">
        <v>250</v>
      </c>
      <c r="C50" s="242" t="s">
        <v>510</v>
      </c>
      <c r="D50" s="242" t="s">
        <v>519</v>
      </c>
      <c r="E50" s="242">
        <v>1</v>
      </c>
      <c r="F50" s="242" t="s">
        <v>512</v>
      </c>
      <c r="G50" s="242" t="s">
        <v>513</v>
      </c>
      <c r="H50" s="243"/>
      <c r="I50" s="243"/>
      <c r="J50" s="243"/>
      <c r="K50" s="244"/>
      <c r="L50" s="243"/>
    </row>
    <row r="51" spans="1:12" ht="30" customHeight="1">
      <c r="A51" s="242">
        <v>79800000</v>
      </c>
      <c r="B51" s="242">
        <v>1000</v>
      </c>
      <c r="C51" s="242" t="s">
        <v>510</v>
      </c>
      <c r="D51" s="242" t="s">
        <v>523</v>
      </c>
      <c r="E51" s="242">
        <v>1</v>
      </c>
      <c r="F51" s="242" t="s">
        <v>512</v>
      </c>
      <c r="G51" s="242" t="s">
        <v>513</v>
      </c>
      <c r="H51" s="243"/>
      <c r="I51" s="243"/>
      <c r="J51" s="243"/>
      <c r="K51" s="244"/>
      <c r="L51" s="243"/>
    </row>
    <row r="52" spans="1:12" ht="30" customHeight="1">
      <c r="A52" s="242">
        <v>79800000</v>
      </c>
      <c r="B52" s="242">
        <v>716</v>
      </c>
      <c r="C52" s="242" t="s">
        <v>510</v>
      </c>
      <c r="D52" s="242" t="s">
        <v>523</v>
      </c>
      <c r="E52" s="242">
        <v>1</v>
      </c>
      <c r="F52" s="242" t="s">
        <v>512</v>
      </c>
      <c r="G52" s="242" t="s">
        <v>513</v>
      </c>
      <c r="H52" s="243"/>
      <c r="I52" s="243"/>
      <c r="J52" s="243"/>
      <c r="K52" s="244"/>
      <c r="L52" s="243"/>
    </row>
    <row r="53" spans="1:12" ht="30" customHeight="1">
      <c r="A53" s="242">
        <v>80500000</v>
      </c>
      <c r="B53" s="242">
        <v>9300</v>
      </c>
      <c r="C53" s="242" t="s">
        <v>530</v>
      </c>
      <c r="D53" s="242" t="s">
        <v>518</v>
      </c>
      <c r="E53" s="242">
        <v>1</v>
      </c>
      <c r="F53" s="242" t="s">
        <v>512</v>
      </c>
      <c r="G53" s="242" t="s">
        <v>513</v>
      </c>
      <c r="H53" s="243"/>
      <c r="I53" s="243"/>
      <c r="J53" s="243"/>
      <c r="K53" s="244"/>
      <c r="L53" s="243"/>
    </row>
    <row r="54" spans="1:12" ht="30" customHeight="1">
      <c r="A54" s="242">
        <v>90400000</v>
      </c>
      <c r="B54" s="242">
        <v>475</v>
      </c>
      <c r="C54" s="242" t="s">
        <v>510</v>
      </c>
      <c r="D54" s="242" t="s">
        <v>518</v>
      </c>
      <c r="E54" s="242">
        <v>1</v>
      </c>
      <c r="F54" s="242" t="s">
        <v>512</v>
      </c>
      <c r="G54" s="242" t="s">
        <v>513</v>
      </c>
      <c r="H54" s="243"/>
      <c r="I54" s="243"/>
      <c r="J54" s="243"/>
      <c r="K54" s="244"/>
      <c r="L54" s="243"/>
    </row>
    <row r="55" spans="1:12" ht="30" customHeight="1">
      <c r="A55" s="242">
        <v>90400000</v>
      </c>
      <c r="B55" s="242">
        <v>800</v>
      </c>
      <c r="C55" s="242" t="s">
        <v>510</v>
      </c>
      <c r="D55" s="242" t="s">
        <v>518</v>
      </c>
      <c r="E55" s="242">
        <v>1</v>
      </c>
      <c r="F55" s="242" t="s">
        <v>512</v>
      </c>
      <c r="G55" s="242" t="s">
        <v>513</v>
      </c>
      <c r="H55" s="243"/>
      <c r="I55" s="243"/>
      <c r="J55" s="243"/>
      <c r="K55" s="244"/>
      <c r="L55" s="243"/>
    </row>
    <row r="56" spans="1:12" ht="30" customHeight="1">
      <c r="A56" s="242">
        <v>90600000</v>
      </c>
      <c r="B56" s="242">
        <v>500</v>
      </c>
      <c r="C56" s="242" t="s">
        <v>510</v>
      </c>
      <c r="D56" s="242" t="s">
        <v>518</v>
      </c>
      <c r="E56" s="242">
        <v>1</v>
      </c>
      <c r="F56" s="242" t="s">
        <v>512</v>
      </c>
      <c r="G56" s="242" t="s">
        <v>513</v>
      </c>
      <c r="H56" s="243"/>
      <c r="I56" s="243"/>
      <c r="J56" s="243"/>
      <c r="K56" s="244"/>
      <c r="L56" s="243"/>
    </row>
    <row r="57" spans="1:12" ht="30" customHeight="1">
      <c r="A57" s="242">
        <v>92200000</v>
      </c>
      <c r="B57" s="242">
        <v>4685</v>
      </c>
      <c r="C57" s="242" t="s">
        <v>510</v>
      </c>
      <c r="D57" s="242" t="s">
        <v>518</v>
      </c>
      <c r="E57" s="242">
        <v>1</v>
      </c>
      <c r="F57" s="242" t="s">
        <v>512</v>
      </c>
      <c r="G57" s="242" t="s">
        <v>513</v>
      </c>
      <c r="H57" s="243"/>
      <c r="I57" s="243"/>
      <c r="J57" s="243"/>
      <c r="K57" s="244"/>
      <c r="L57" s="243"/>
    </row>
    <row r="58" spans="1:12" ht="30" customHeight="1">
      <c r="A58" s="246" t="s">
        <v>531</v>
      </c>
      <c r="B58" s="246">
        <f>SUM(B5:B57)</f>
        <v>154188.63</v>
      </c>
      <c r="C58" s="247"/>
      <c r="D58" s="247"/>
      <c r="E58" s="247"/>
      <c r="F58" s="247"/>
      <c r="G58" s="247"/>
      <c r="H58" s="247"/>
      <c r="I58" s="247"/>
      <c r="J58" s="247"/>
      <c r="K58" s="247"/>
      <c r="L58" s="247"/>
    </row>
    <row r="59" spans="1:12" ht="30" customHeight="1">
      <c r="A59" s="242" t="s">
        <v>532</v>
      </c>
      <c r="B59" s="242">
        <v>2778</v>
      </c>
      <c r="C59" s="242" t="s">
        <v>510</v>
      </c>
      <c r="D59" s="242" t="s">
        <v>518</v>
      </c>
      <c r="E59" s="242">
        <v>1</v>
      </c>
      <c r="F59" s="243" t="s">
        <v>512</v>
      </c>
      <c r="G59" s="242" t="s">
        <v>268</v>
      </c>
      <c r="H59" s="243"/>
      <c r="I59" s="243"/>
      <c r="J59" s="243"/>
      <c r="K59" s="244"/>
      <c r="L59" s="243"/>
    </row>
    <row r="60" spans="1:12" ht="30" customHeight="1">
      <c r="A60" s="242" t="s">
        <v>509</v>
      </c>
      <c r="B60" s="242">
        <v>4390</v>
      </c>
      <c r="C60" s="242" t="s">
        <v>524</v>
      </c>
      <c r="D60" s="242" t="s">
        <v>523</v>
      </c>
      <c r="E60" s="242">
        <v>1</v>
      </c>
      <c r="F60" s="243"/>
      <c r="G60" s="242" t="s">
        <v>268</v>
      </c>
      <c r="H60" s="243"/>
      <c r="I60" s="243"/>
      <c r="J60" s="243"/>
      <c r="K60" s="244"/>
      <c r="L60" s="243"/>
    </row>
    <row r="61" spans="1:12" ht="30" customHeight="1">
      <c r="A61" s="242" t="s">
        <v>509</v>
      </c>
      <c r="B61" s="242">
        <v>60230.6</v>
      </c>
      <c r="C61" s="242" t="s">
        <v>530</v>
      </c>
      <c r="D61" s="242" t="s">
        <v>518</v>
      </c>
      <c r="E61" s="242">
        <v>1</v>
      </c>
      <c r="F61" s="243" t="s">
        <v>512</v>
      </c>
      <c r="G61" s="242" t="s">
        <v>268</v>
      </c>
      <c r="H61" s="243"/>
      <c r="I61" s="243"/>
      <c r="J61" s="243"/>
      <c r="K61" s="244"/>
      <c r="L61" s="243" t="s">
        <v>533</v>
      </c>
    </row>
    <row r="62" spans="1:12" ht="30" customHeight="1">
      <c r="A62" s="242" t="s">
        <v>534</v>
      </c>
      <c r="B62" s="242">
        <v>280</v>
      </c>
      <c r="C62" s="242" t="s">
        <v>510</v>
      </c>
      <c r="D62" s="242" t="s">
        <v>511</v>
      </c>
      <c r="E62" s="242">
        <v>1</v>
      </c>
      <c r="F62" s="243" t="s">
        <v>512</v>
      </c>
      <c r="G62" s="242" t="s">
        <v>268</v>
      </c>
      <c r="H62" s="243"/>
      <c r="I62" s="243"/>
      <c r="J62" s="243"/>
      <c r="K62" s="244"/>
      <c r="L62" s="243"/>
    </row>
    <row r="63" spans="1:12" ht="30" customHeight="1">
      <c r="A63" s="242" t="s">
        <v>535</v>
      </c>
      <c r="B63" s="242">
        <v>21450</v>
      </c>
      <c r="C63" s="242" t="s">
        <v>515</v>
      </c>
      <c r="D63" s="242" t="s">
        <v>518</v>
      </c>
      <c r="E63" s="242">
        <v>1</v>
      </c>
      <c r="F63" s="243"/>
      <c r="G63" s="242" t="s">
        <v>268</v>
      </c>
      <c r="H63" s="243"/>
      <c r="I63" s="243"/>
      <c r="J63" s="243"/>
      <c r="K63" s="244"/>
      <c r="L63" s="243" t="s">
        <v>536</v>
      </c>
    </row>
    <row r="64" spans="1:12" ht="30" customHeight="1">
      <c r="A64" s="242" t="s">
        <v>535</v>
      </c>
      <c r="B64" s="242">
        <v>27200</v>
      </c>
      <c r="C64" s="242" t="s">
        <v>515</v>
      </c>
      <c r="D64" s="242" t="s">
        <v>518</v>
      </c>
      <c r="E64" s="242">
        <v>1</v>
      </c>
      <c r="F64" s="243"/>
      <c r="G64" s="242" t="s">
        <v>268</v>
      </c>
      <c r="H64" s="243"/>
      <c r="I64" s="243"/>
      <c r="J64" s="243"/>
      <c r="K64" s="244"/>
      <c r="L64" s="243" t="s">
        <v>537</v>
      </c>
    </row>
    <row r="65" spans="1:12" ht="30" customHeight="1">
      <c r="A65" s="242">
        <v>15100000</v>
      </c>
      <c r="B65" s="242">
        <v>15588</v>
      </c>
      <c r="C65" s="242" t="s">
        <v>524</v>
      </c>
      <c r="D65" s="242" t="s">
        <v>523</v>
      </c>
      <c r="E65" s="242">
        <v>1</v>
      </c>
      <c r="F65" s="243"/>
      <c r="G65" s="242" t="s">
        <v>268</v>
      </c>
      <c r="H65" s="243"/>
      <c r="I65" s="243"/>
      <c r="J65" s="243"/>
      <c r="K65" s="244"/>
      <c r="L65" s="243"/>
    </row>
    <row r="66" spans="1:12" ht="30" customHeight="1">
      <c r="A66" s="242">
        <v>15100000</v>
      </c>
      <c r="B66" s="242">
        <v>82839</v>
      </c>
      <c r="C66" s="242" t="s">
        <v>530</v>
      </c>
      <c r="D66" s="242" t="s">
        <v>518</v>
      </c>
      <c r="E66" s="242">
        <v>1</v>
      </c>
      <c r="F66" s="243" t="s">
        <v>512</v>
      </c>
      <c r="G66" s="242" t="s">
        <v>268</v>
      </c>
      <c r="H66" s="243"/>
      <c r="I66" s="243"/>
      <c r="J66" s="243"/>
      <c r="K66" s="244"/>
      <c r="L66" s="243"/>
    </row>
    <row r="67" spans="1:12" ht="30" customHeight="1">
      <c r="A67" s="242">
        <v>15200000</v>
      </c>
      <c r="B67" s="242">
        <v>36470</v>
      </c>
      <c r="C67" s="242" t="s">
        <v>530</v>
      </c>
      <c r="D67" s="242" t="s">
        <v>518</v>
      </c>
      <c r="E67" s="242">
        <v>1</v>
      </c>
      <c r="F67" s="243" t="s">
        <v>512</v>
      </c>
      <c r="G67" s="242" t="s">
        <v>268</v>
      </c>
      <c r="H67" s="243"/>
      <c r="I67" s="243"/>
      <c r="J67" s="243"/>
      <c r="K67" s="244"/>
      <c r="L67" s="243"/>
    </row>
    <row r="68" spans="1:12" ht="30" customHeight="1">
      <c r="A68" s="242">
        <v>15300000</v>
      </c>
      <c r="B68" s="242">
        <v>24300</v>
      </c>
      <c r="C68" s="242" t="s">
        <v>530</v>
      </c>
      <c r="D68" s="242" t="s">
        <v>518</v>
      </c>
      <c r="E68" s="242">
        <v>1</v>
      </c>
      <c r="F68" s="243" t="s">
        <v>512</v>
      </c>
      <c r="G68" s="242" t="s">
        <v>268</v>
      </c>
      <c r="H68" s="243"/>
      <c r="I68" s="243"/>
      <c r="J68" s="243"/>
      <c r="K68" s="244"/>
      <c r="L68" s="243"/>
    </row>
    <row r="69" spans="1:12" ht="30" customHeight="1">
      <c r="A69" s="242">
        <v>15400000</v>
      </c>
      <c r="B69" s="242">
        <v>9020</v>
      </c>
      <c r="C69" s="242" t="s">
        <v>530</v>
      </c>
      <c r="D69" s="242" t="s">
        <v>518</v>
      </c>
      <c r="E69" s="242">
        <v>1</v>
      </c>
      <c r="F69" s="243" t="s">
        <v>512</v>
      </c>
      <c r="G69" s="242" t="s">
        <v>268</v>
      </c>
      <c r="H69" s="243"/>
      <c r="I69" s="243"/>
      <c r="J69" s="243"/>
      <c r="K69" s="244"/>
      <c r="L69" s="243"/>
    </row>
    <row r="70" spans="1:12" ht="30" customHeight="1">
      <c r="A70" s="242">
        <v>15500000</v>
      </c>
      <c r="B70" s="242">
        <v>13220</v>
      </c>
      <c r="C70" s="242" t="s">
        <v>524</v>
      </c>
      <c r="D70" s="242" t="s">
        <v>523</v>
      </c>
      <c r="E70" s="242">
        <v>1</v>
      </c>
      <c r="F70" s="243"/>
      <c r="G70" s="242" t="s">
        <v>268</v>
      </c>
      <c r="H70" s="243"/>
      <c r="I70" s="243"/>
      <c r="J70" s="243"/>
      <c r="K70" s="244"/>
      <c r="L70" s="243"/>
    </row>
    <row r="71" spans="1:12" ht="30" customHeight="1">
      <c r="A71" s="242">
        <v>15500000</v>
      </c>
      <c r="B71" s="242">
        <v>35186.8</v>
      </c>
      <c r="C71" s="242" t="s">
        <v>530</v>
      </c>
      <c r="D71" s="242" t="s">
        <v>518</v>
      </c>
      <c r="E71" s="242">
        <v>1</v>
      </c>
      <c r="F71" s="243" t="s">
        <v>512</v>
      </c>
      <c r="G71" s="242" t="s">
        <v>268</v>
      </c>
      <c r="H71" s="243"/>
      <c r="I71" s="243"/>
      <c r="J71" s="243"/>
      <c r="K71" s="244"/>
      <c r="L71" s="243"/>
    </row>
    <row r="72" spans="1:12" ht="30" customHeight="1">
      <c r="A72" s="242">
        <v>15600000</v>
      </c>
      <c r="B72" s="242">
        <v>450</v>
      </c>
      <c r="C72" s="242" t="s">
        <v>510</v>
      </c>
      <c r="D72" s="242" t="s">
        <v>511</v>
      </c>
      <c r="E72" s="242">
        <v>1</v>
      </c>
      <c r="F72" s="243" t="s">
        <v>512</v>
      </c>
      <c r="G72" s="242" t="s">
        <v>268</v>
      </c>
      <c r="H72" s="243"/>
      <c r="I72" s="243"/>
      <c r="J72" s="243"/>
      <c r="K72" s="244"/>
      <c r="L72" s="243"/>
    </row>
    <row r="73" spans="1:12" ht="30" customHeight="1">
      <c r="A73" s="242">
        <v>15600000</v>
      </c>
      <c r="B73" s="242">
        <v>1665.3</v>
      </c>
      <c r="C73" s="242" t="s">
        <v>510</v>
      </c>
      <c r="D73" s="242" t="s">
        <v>518</v>
      </c>
      <c r="E73" s="242">
        <v>1</v>
      </c>
      <c r="F73" s="243" t="s">
        <v>512</v>
      </c>
      <c r="G73" s="242" t="s">
        <v>268</v>
      </c>
      <c r="H73" s="243"/>
      <c r="I73" s="243"/>
      <c r="J73" s="243"/>
      <c r="K73" s="244"/>
      <c r="L73" s="243"/>
    </row>
    <row r="74" spans="1:12" ht="30" customHeight="1">
      <c r="A74" s="242">
        <v>15800000</v>
      </c>
      <c r="B74" s="242">
        <v>61.5</v>
      </c>
      <c r="C74" s="242" t="s">
        <v>510</v>
      </c>
      <c r="D74" s="242" t="s">
        <v>518</v>
      </c>
      <c r="E74" s="242">
        <v>1</v>
      </c>
      <c r="F74" s="243" t="s">
        <v>525</v>
      </c>
      <c r="G74" s="242" t="s">
        <v>268</v>
      </c>
      <c r="H74" s="243"/>
      <c r="I74" s="243"/>
      <c r="J74" s="243"/>
      <c r="K74" s="244"/>
      <c r="L74" s="243"/>
    </row>
    <row r="75" spans="1:12" ht="30" customHeight="1">
      <c r="A75" s="242">
        <v>15800000</v>
      </c>
      <c r="B75" s="242">
        <v>41</v>
      </c>
      <c r="C75" s="242" t="s">
        <v>510</v>
      </c>
      <c r="D75" s="242" t="s">
        <v>516</v>
      </c>
      <c r="E75" s="242">
        <v>1</v>
      </c>
      <c r="F75" s="243" t="s">
        <v>525</v>
      </c>
      <c r="G75" s="242" t="s">
        <v>268</v>
      </c>
      <c r="H75" s="243"/>
      <c r="I75" s="243"/>
      <c r="J75" s="243"/>
      <c r="K75" s="244"/>
      <c r="L75" s="243"/>
    </row>
    <row r="76" spans="1:12" ht="30" customHeight="1">
      <c r="A76" s="242">
        <v>15800000</v>
      </c>
      <c r="B76" s="242">
        <v>27805.41</v>
      </c>
      <c r="C76" s="242" t="s">
        <v>530</v>
      </c>
      <c r="D76" s="242" t="s">
        <v>518</v>
      </c>
      <c r="E76" s="242">
        <v>1</v>
      </c>
      <c r="F76" s="243" t="s">
        <v>512</v>
      </c>
      <c r="G76" s="242" t="s">
        <v>268</v>
      </c>
      <c r="H76" s="243"/>
      <c r="I76" s="243"/>
      <c r="J76" s="243"/>
      <c r="K76" s="244"/>
      <c r="L76" s="243"/>
    </row>
    <row r="77" spans="1:12" ht="30" customHeight="1">
      <c r="A77" s="242">
        <v>15900000</v>
      </c>
      <c r="B77" s="242">
        <v>105.3</v>
      </c>
      <c r="C77" s="242" t="s">
        <v>510</v>
      </c>
      <c r="D77" s="242" t="s">
        <v>518</v>
      </c>
      <c r="E77" s="242">
        <v>1</v>
      </c>
      <c r="F77" s="243" t="s">
        <v>525</v>
      </c>
      <c r="G77" s="242" t="s">
        <v>268</v>
      </c>
      <c r="H77" s="243"/>
      <c r="I77" s="243"/>
      <c r="J77" s="243"/>
      <c r="K77" s="244"/>
      <c r="L77" s="243"/>
    </row>
    <row r="78" spans="1:12" ht="30" customHeight="1">
      <c r="A78" s="242">
        <v>15900000</v>
      </c>
      <c r="B78" s="242">
        <v>70.2</v>
      </c>
      <c r="C78" s="242" t="s">
        <v>510</v>
      </c>
      <c r="D78" s="242" t="s">
        <v>516</v>
      </c>
      <c r="E78" s="242">
        <v>1</v>
      </c>
      <c r="F78" s="243" t="s">
        <v>525</v>
      </c>
      <c r="G78" s="242" t="s">
        <v>268</v>
      </c>
      <c r="H78" s="243"/>
      <c r="I78" s="243"/>
      <c r="J78" s="243"/>
      <c r="K78" s="244"/>
      <c r="L78" s="243"/>
    </row>
    <row r="79" spans="1:12" ht="30" customHeight="1">
      <c r="A79" s="242">
        <v>15900000</v>
      </c>
      <c r="B79" s="242">
        <v>4174</v>
      </c>
      <c r="C79" s="242" t="s">
        <v>530</v>
      </c>
      <c r="D79" s="242" t="s">
        <v>518</v>
      </c>
      <c r="E79" s="242">
        <v>1</v>
      </c>
      <c r="F79" s="243" t="s">
        <v>512</v>
      </c>
      <c r="G79" s="242" t="s">
        <v>268</v>
      </c>
      <c r="H79" s="243"/>
      <c r="I79" s="243"/>
      <c r="J79" s="243"/>
      <c r="K79" s="244"/>
      <c r="L79" s="243"/>
    </row>
    <row r="80" spans="1:12" ht="30" customHeight="1">
      <c r="A80" s="242">
        <v>18300000</v>
      </c>
      <c r="B80" s="242">
        <v>675</v>
      </c>
      <c r="C80" s="242" t="s">
        <v>510</v>
      </c>
      <c r="D80" s="242" t="s">
        <v>519</v>
      </c>
      <c r="E80" s="242">
        <v>1</v>
      </c>
      <c r="F80" s="243" t="s">
        <v>512</v>
      </c>
      <c r="G80" s="242" t="s">
        <v>268</v>
      </c>
      <c r="H80" s="243"/>
      <c r="I80" s="243"/>
      <c r="J80" s="243"/>
      <c r="K80" s="244"/>
      <c r="L80" s="243"/>
    </row>
    <row r="81" spans="1:12" ht="30" customHeight="1">
      <c r="A81" s="242">
        <v>18300000</v>
      </c>
      <c r="B81" s="242">
        <v>750</v>
      </c>
      <c r="C81" s="242" t="s">
        <v>510</v>
      </c>
      <c r="D81" s="242" t="s">
        <v>518</v>
      </c>
      <c r="E81" s="242">
        <v>1</v>
      </c>
      <c r="F81" s="243" t="s">
        <v>512</v>
      </c>
      <c r="G81" s="242" t="s">
        <v>268</v>
      </c>
      <c r="H81" s="243"/>
      <c r="I81" s="243"/>
      <c r="J81" s="243"/>
      <c r="K81" s="244"/>
      <c r="L81" s="243"/>
    </row>
    <row r="82" spans="1:12" ht="36.75" customHeight="1">
      <c r="A82" s="242">
        <v>18300000</v>
      </c>
      <c r="B82" s="242">
        <v>990</v>
      </c>
      <c r="C82" s="242" t="s">
        <v>510</v>
      </c>
      <c r="D82" s="242" t="s">
        <v>519</v>
      </c>
      <c r="E82" s="242">
        <v>1</v>
      </c>
      <c r="F82" s="243" t="s">
        <v>512</v>
      </c>
      <c r="G82" s="242" t="s">
        <v>268</v>
      </c>
      <c r="H82" s="243"/>
      <c r="I82" s="243"/>
      <c r="J82" s="243"/>
      <c r="K82" s="244"/>
      <c r="L82" s="243" t="s">
        <v>538</v>
      </c>
    </row>
    <row r="83" spans="1:12" ht="30" customHeight="1">
      <c r="A83" s="242">
        <v>18500000</v>
      </c>
      <c r="B83" s="242">
        <v>1000</v>
      </c>
      <c r="C83" s="242" t="s">
        <v>510</v>
      </c>
      <c r="D83" s="242" t="s">
        <v>518</v>
      </c>
      <c r="E83" s="242">
        <v>1</v>
      </c>
      <c r="F83" s="243" t="s">
        <v>525</v>
      </c>
      <c r="G83" s="242" t="s">
        <v>268</v>
      </c>
      <c r="H83" s="243"/>
      <c r="I83" s="243"/>
      <c r="J83" s="243"/>
      <c r="K83" s="244"/>
      <c r="L83" s="243"/>
    </row>
    <row r="84" spans="1:12" ht="30" customHeight="1">
      <c r="A84" s="242">
        <v>18800000</v>
      </c>
      <c r="B84" s="242">
        <v>490</v>
      </c>
      <c r="C84" s="242" t="s">
        <v>510</v>
      </c>
      <c r="D84" s="242" t="s">
        <v>523</v>
      </c>
      <c r="E84" s="242">
        <v>1</v>
      </c>
      <c r="F84" s="248" t="s">
        <v>512</v>
      </c>
      <c r="G84" s="242" t="s">
        <v>268</v>
      </c>
      <c r="H84" s="243"/>
      <c r="I84" s="243"/>
      <c r="J84" s="243"/>
      <c r="K84" s="244"/>
      <c r="L84" s="243"/>
    </row>
    <row r="85" spans="1:12" ht="30" customHeight="1">
      <c r="A85" s="242">
        <v>19600000</v>
      </c>
      <c r="B85" s="242">
        <v>1850</v>
      </c>
      <c r="C85" s="242" t="s">
        <v>510</v>
      </c>
      <c r="D85" s="242" t="s">
        <v>523</v>
      </c>
      <c r="E85" s="242">
        <v>1</v>
      </c>
      <c r="F85" s="248" t="s">
        <v>512</v>
      </c>
      <c r="G85" s="242" t="s">
        <v>268</v>
      </c>
      <c r="H85" s="243"/>
      <c r="I85" s="243"/>
      <c r="J85" s="243"/>
      <c r="K85" s="244"/>
      <c r="L85" s="243"/>
    </row>
    <row r="86" spans="1:12" ht="30" customHeight="1">
      <c r="A86" s="242">
        <v>22100000</v>
      </c>
      <c r="B86" s="242">
        <v>720</v>
      </c>
      <c r="C86" s="242" t="s">
        <v>510</v>
      </c>
      <c r="D86" s="242" t="s">
        <v>523</v>
      </c>
      <c r="E86" s="242">
        <v>1</v>
      </c>
      <c r="F86" s="248" t="s">
        <v>512</v>
      </c>
      <c r="G86" s="242" t="s">
        <v>268</v>
      </c>
      <c r="H86" s="243"/>
      <c r="I86" s="243"/>
      <c r="J86" s="243"/>
      <c r="K86" s="244"/>
      <c r="L86" s="243"/>
    </row>
    <row r="87" spans="1:12" ht="30" customHeight="1">
      <c r="A87" s="242">
        <v>22100000</v>
      </c>
      <c r="B87" s="242">
        <v>98.55</v>
      </c>
      <c r="C87" s="242" t="s">
        <v>510</v>
      </c>
      <c r="D87" s="242" t="s">
        <v>518</v>
      </c>
      <c r="E87" s="242">
        <v>1</v>
      </c>
      <c r="F87" s="248" t="s">
        <v>525</v>
      </c>
      <c r="G87" s="242" t="s">
        <v>268</v>
      </c>
      <c r="H87" s="243"/>
      <c r="I87" s="243"/>
      <c r="J87" s="243"/>
      <c r="K87" s="244"/>
      <c r="L87" s="243"/>
    </row>
    <row r="88" spans="1:12" ht="30" customHeight="1">
      <c r="A88" s="242">
        <v>22100000</v>
      </c>
      <c r="B88" s="242">
        <v>19.5</v>
      </c>
      <c r="C88" s="242" t="s">
        <v>510</v>
      </c>
      <c r="D88" s="242" t="s">
        <v>518</v>
      </c>
      <c r="E88" s="242">
        <v>1</v>
      </c>
      <c r="F88" s="248" t="s">
        <v>512</v>
      </c>
      <c r="G88" s="242" t="s">
        <v>268</v>
      </c>
      <c r="H88" s="243"/>
      <c r="I88" s="243"/>
      <c r="J88" s="243"/>
      <c r="K88" s="244"/>
      <c r="L88" s="243"/>
    </row>
    <row r="89" spans="1:12" ht="30" customHeight="1">
      <c r="A89" s="242">
        <v>22100000</v>
      </c>
      <c r="B89" s="242">
        <v>1100</v>
      </c>
      <c r="C89" s="242" t="s">
        <v>510</v>
      </c>
      <c r="D89" s="242" t="s">
        <v>518</v>
      </c>
      <c r="E89" s="242">
        <v>1</v>
      </c>
      <c r="F89" s="248" t="s">
        <v>539</v>
      </c>
      <c r="G89" s="242" t="s">
        <v>268</v>
      </c>
      <c r="H89" s="243"/>
      <c r="I89" s="243"/>
      <c r="J89" s="243"/>
      <c r="K89" s="244"/>
      <c r="L89" s="243" t="s">
        <v>540</v>
      </c>
    </row>
    <row r="90" spans="1:12" ht="30" customHeight="1">
      <c r="A90" s="242">
        <v>22100000</v>
      </c>
      <c r="B90" s="242">
        <v>2750</v>
      </c>
      <c r="C90" s="242" t="s">
        <v>510</v>
      </c>
      <c r="D90" s="242" t="s">
        <v>523</v>
      </c>
      <c r="E90" s="242">
        <v>1</v>
      </c>
      <c r="F90" s="248" t="s">
        <v>539</v>
      </c>
      <c r="G90" s="242" t="s">
        <v>268</v>
      </c>
      <c r="H90" s="243"/>
      <c r="I90" s="243"/>
      <c r="J90" s="243"/>
      <c r="K90" s="244"/>
      <c r="L90" s="243"/>
    </row>
    <row r="91" spans="1:12" ht="30" customHeight="1">
      <c r="A91" s="242">
        <v>22100000</v>
      </c>
      <c r="B91" s="242">
        <v>146.25</v>
      </c>
      <c r="C91" s="242" t="s">
        <v>510</v>
      </c>
      <c r="D91" s="242" t="s">
        <v>511</v>
      </c>
      <c r="E91" s="242">
        <v>1</v>
      </c>
      <c r="F91" s="248" t="s">
        <v>512</v>
      </c>
      <c r="G91" s="242" t="s">
        <v>268</v>
      </c>
      <c r="H91" s="243"/>
      <c r="I91" s="243"/>
      <c r="J91" s="243"/>
      <c r="K91" s="244"/>
      <c r="L91" s="243"/>
    </row>
    <row r="92" spans="1:12" ht="30" customHeight="1">
      <c r="A92" s="242">
        <v>22100000</v>
      </c>
      <c r="B92" s="242">
        <v>65.7</v>
      </c>
      <c r="C92" s="242" t="s">
        <v>510</v>
      </c>
      <c r="D92" s="242" t="s">
        <v>516</v>
      </c>
      <c r="E92" s="242">
        <v>1</v>
      </c>
      <c r="F92" s="248" t="s">
        <v>525</v>
      </c>
      <c r="G92" s="242" t="s">
        <v>268</v>
      </c>
      <c r="H92" s="243"/>
      <c r="I92" s="243"/>
      <c r="J92" s="243"/>
      <c r="K92" s="244"/>
      <c r="L92" s="243"/>
    </row>
    <row r="93" spans="1:12" ht="30" customHeight="1">
      <c r="A93" s="242">
        <v>22400000</v>
      </c>
      <c r="B93" s="242">
        <v>16340</v>
      </c>
      <c r="C93" s="242" t="s">
        <v>530</v>
      </c>
      <c r="D93" s="242" t="s">
        <v>523</v>
      </c>
      <c r="E93" s="242">
        <v>1</v>
      </c>
      <c r="F93" s="248" t="s">
        <v>512</v>
      </c>
      <c r="G93" s="242" t="s">
        <v>268</v>
      </c>
      <c r="H93" s="243"/>
      <c r="I93" s="243"/>
      <c r="J93" s="243"/>
      <c r="K93" s="244"/>
      <c r="L93" s="243"/>
    </row>
    <row r="94" spans="1:12" ht="30" customHeight="1">
      <c r="A94" s="242">
        <v>22400000</v>
      </c>
      <c r="B94" s="242">
        <v>687.5</v>
      </c>
      <c r="C94" s="242" t="s">
        <v>510</v>
      </c>
      <c r="D94" s="242" t="s">
        <v>516</v>
      </c>
      <c r="E94" s="242">
        <v>1</v>
      </c>
      <c r="F94" s="248" t="s">
        <v>525</v>
      </c>
      <c r="G94" s="242" t="s">
        <v>268</v>
      </c>
      <c r="H94" s="243"/>
      <c r="I94" s="243"/>
      <c r="J94" s="243"/>
      <c r="K94" s="244"/>
      <c r="L94" s="243"/>
    </row>
    <row r="95" spans="1:12" ht="30" customHeight="1">
      <c r="A95" s="242">
        <v>22800000</v>
      </c>
      <c r="B95" s="242">
        <v>3624</v>
      </c>
      <c r="C95" s="242" t="s">
        <v>530</v>
      </c>
      <c r="D95" s="242" t="s">
        <v>518</v>
      </c>
      <c r="E95" s="242">
        <v>1</v>
      </c>
      <c r="F95" s="248" t="s">
        <v>512</v>
      </c>
      <c r="G95" s="242" t="s">
        <v>268</v>
      </c>
      <c r="H95" s="243"/>
      <c r="I95" s="243"/>
      <c r="J95" s="243"/>
      <c r="K95" s="244"/>
      <c r="L95" s="243"/>
    </row>
    <row r="96" spans="1:12" ht="30" customHeight="1">
      <c r="A96" s="242">
        <v>24400000</v>
      </c>
      <c r="B96" s="242">
        <v>60</v>
      </c>
      <c r="C96" s="242" t="s">
        <v>510</v>
      </c>
      <c r="D96" s="242" t="s">
        <v>523</v>
      </c>
      <c r="E96" s="242">
        <v>1</v>
      </c>
      <c r="F96" s="248" t="s">
        <v>512</v>
      </c>
      <c r="G96" s="242" t="s">
        <v>268</v>
      </c>
      <c r="H96" s="243"/>
      <c r="I96" s="243"/>
      <c r="J96" s="243"/>
      <c r="K96" s="244"/>
      <c r="L96" s="243"/>
    </row>
    <row r="97" spans="1:12" ht="30" customHeight="1">
      <c r="A97" s="242">
        <v>30100000</v>
      </c>
      <c r="B97" s="242">
        <v>8911</v>
      </c>
      <c r="C97" s="242" t="s">
        <v>530</v>
      </c>
      <c r="D97" s="242" t="s">
        <v>518</v>
      </c>
      <c r="E97" s="242">
        <v>1</v>
      </c>
      <c r="F97" s="248" t="s">
        <v>512</v>
      </c>
      <c r="G97" s="242" t="s">
        <v>268</v>
      </c>
      <c r="H97" s="243"/>
      <c r="I97" s="243"/>
      <c r="J97" s="243"/>
      <c r="K97" s="244"/>
      <c r="L97" s="243"/>
    </row>
    <row r="98" spans="1:12" ht="30" customHeight="1">
      <c r="A98" s="242">
        <v>30100000</v>
      </c>
      <c r="B98" s="242">
        <v>10</v>
      </c>
      <c r="C98" s="242" t="s">
        <v>530</v>
      </c>
      <c r="D98" s="242" t="s">
        <v>518</v>
      </c>
      <c r="E98" s="242">
        <v>1</v>
      </c>
      <c r="F98" s="248" t="s">
        <v>512</v>
      </c>
      <c r="G98" s="242" t="s">
        <v>268</v>
      </c>
      <c r="H98" s="243"/>
      <c r="I98" s="243"/>
      <c r="J98" s="243"/>
      <c r="K98" s="244"/>
      <c r="L98" s="243"/>
    </row>
    <row r="99" spans="1:12" ht="30" customHeight="1">
      <c r="A99" s="242">
        <v>30100000</v>
      </c>
      <c r="B99" s="242">
        <v>10</v>
      </c>
      <c r="C99" s="242" t="s">
        <v>515</v>
      </c>
      <c r="D99" s="242" t="s">
        <v>518</v>
      </c>
      <c r="E99" s="242">
        <v>1</v>
      </c>
      <c r="F99" s="243"/>
      <c r="G99" s="242" t="s">
        <v>268</v>
      </c>
      <c r="H99" s="243"/>
      <c r="I99" s="243"/>
      <c r="J99" s="243"/>
      <c r="K99" s="244"/>
      <c r="L99" s="243"/>
    </row>
    <row r="100" spans="1:12" ht="30" customHeight="1">
      <c r="A100" s="242">
        <v>30200000</v>
      </c>
      <c r="B100" s="242">
        <v>1259.99</v>
      </c>
      <c r="C100" s="242" t="s">
        <v>515</v>
      </c>
      <c r="D100" s="242" t="s">
        <v>523</v>
      </c>
      <c r="E100" s="242">
        <v>1</v>
      </c>
      <c r="F100" s="243"/>
      <c r="G100" s="242" t="s">
        <v>268</v>
      </c>
      <c r="H100" s="243"/>
      <c r="I100" s="243"/>
      <c r="J100" s="243"/>
      <c r="K100" s="244"/>
      <c r="L100" s="243" t="s">
        <v>541</v>
      </c>
    </row>
    <row r="101" spans="1:12" ht="30" customHeight="1">
      <c r="A101" s="242">
        <v>30200000</v>
      </c>
      <c r="B101" s="242">
        <v>1137</v>
      </c>
      <c r="C101" s="242" t="s">
        <v>515</v>
      </c>
      <c r="D101" s="242" t="s">
        <v>523</v>
      </c>
      <c r="E101" s="242">
        <v>1</v>
      </c>
      <c r="F101" s="243"/>
      <c r="G101" s="242" t="s">
        <v>268</v>
      </c>
      <c r="H101" s="243"/>
      <c r="I101" s="243"/>
      <c r="J101" s="243"/>
      <c r="K101" s="244"/>
      <c r="L101" s="243" t="s">
        <v>542</v>
      </c>
    </row>
    <row r="102" spans="1:12" ht="30" customHeight="1">
      <c r="A102" s="242">
        <v>31400000</v>
      </c>
      <c r="B102" s="242">
        <v>120</v>
      </c>
      <c r="C102" s="242" t="s">
        <v>510</v>
      </c>
      <c r="D102" s="242" t="s">
        <v>523</v>
      </c>
      <c r="E102" s="242">
        <v>1</v>
      </c>
      <c r="F102" s="243" t="s">
        <v>512</v>
      </c>
      <c r="G102" s="242" t="s">
        <v>268</v>
      </c>
      <c r="H102" s="243"/>
      <c r="I102" s="243"/>
      <c r="J102" s="243"/>
      <c r="K102" s="244"/>
      <c r="L102" s="243"/>
    </row>
    <row r="103" spans="1:12" ht="30" customHeight="1">
      <c r="A103" s="242">
        <v>31400000</v>
      </c>
      <c r="B103" s="242">
        <v>560</v>
      </c>
      <c r="C103" s="242" t="s">
        <v>510</v>
      </c>
      <c r="D103" s="242" t="s">
        <v>523</v>
      </c>
      <c r="E103" s="242">
        <v>1</v>
      </c>
      <c r="F103" s="243" t="s">
        <v>512</v>
      </c>
      <c r="G103" s="242" t="s">
        <v>268</v>
      </c>
      <c r="H103" s="243"/>
      <c r="I103" s="243"/>
      <c r="J103" s="243"/>
      <c r="K103" s="244"/>
      <c r="L103" s="243"/>
    </row>
    <row r="104" spans="1:12" ht="30" customHeight="1">
      <c r="A104" s="242">
        <v>33100000</v>
      </c>
      <c r="B104" s="242">
        <v>331.72</v>
      </c>
      <c r="C104" s="242" t="s">
        <v>510</v>
      </c>
      <c r="D104" s="242" t="s">
        <v>516</v>
      </c>
      <c r="E104" s="242">
        <v>1</v>
      </c>
      <c r="F104" s="243" t="s">
        <v>512</v>
      </c>
      <c r="G104" s="242" t="s">
        <v>268</v>
      </c>
      <c r="H104" s="243"/>
      <c r="I104" s="243"/>
      <c r="J104" s="243"/>
      <c r="K104" s="244"/>
      <c r="L104" s="243"/>
    </row>
    <row r="105" spans="1:12" ht="30" customHeight="1">
      <c r="A105" s="242">
        <v>33700000</v>
      </c>
      <c r="B105" s="242">
        <v>9660</v>
      </c>
      <c r="C105" s="242" t="s">
        <v>530</v>
      </c>
      <c r="D105" s="242" t="s">
        <v>518</v>
      </c>
      <c r="E105" s="242">
        <v>1</v>
      </c>
      <c r="F105" s="243" t="s">
        <v>512</v>
      </c>
      <c r="G105" s="242" t="s">
        <v>268</v>
      </c>
      <c r="H105" s="243"/>
      <c r="I105" s="243"/>
      <c r="J105" s="243"/>
      <c r="K105" s="244"/>
      <c r="L105" s="243"/>
    </row>
    <row r="106" spans="1:12" ht="30" customHeight="1">
      <c r="A106" s="242">
        <v>33700000</v>
      </c>
      <c r="B106" s="242">
        <v>7755</v>
      </c>
      <c r="C106" s="242" t="s">
        <v>530</v>
      </c>
      <c r="D106" s="242" t="s">
        <v>523</v>
      </c>
      <c r="E106" s="242">
        <v>1</v>
      </c>
      <c r="F106" s="243" t="s">
        <v>512</v>
      </c>
      <c r="G106" s="242" t="s">
        <v>268</v>
      </c>
      <c r="H106" s="243"/>
      <c r="I106" s="243"/>
      <c r="J106" s="243"/>
      <c r="K106" s="244"/>
      <c r="L106" s="243"/>
    </row>
    <row r="107" spans="1:12" ht="30" customHeight="1">
      <c r="A107" s="242">
        <v>34300000</v>
      </c>
      <c r="B107" s="242">
        <v>480</v>
      </c>
      <c r="C107" s="242" t="s">
        <v>515</v>
      </c>
      <c r="D107" s="242" t="s">
        <v>511</v>
      </c>
      <c r="E107" s="242">
        <v>1</v>
      </c>
      <c r="F107" s="243"/>
      <c r="G107" s="242" t="s">
        <v>268</v>
      </c>
      <c r="H107" s="243"/>
      <c r="I107" s="243"/>
      <c r="J107" s="243"/>
      <c r="K107" s="244"/>
      <c r="L107" s="243" t="s">
        <v>543</v>
      </c>
    </row>
    <row r="108" spans="1:12" ht="30" customHeight="1">
      <c r="A108" s="242">
        <v>34300000</v>
      </c>
      <c r="B108" s="242">
        <v>1128</v>
      </c>
      <c r="C108" s="242" t="s">
        <v>515</v>
      </c>
      <c r="D108" s="242" t="s">
        <v>511</v>
      </c>
      <c r="E108" s="242">
        <v>1</v>
      </c>
      <c r="F108" s="243"/>
      <c r="G108" s="242" t="s">
        <v>268</v>
      </c>
      <c r="H108" s="243"/>
      <c r="I108" s="243"/>
      <c r="J108" s="243"/>
      <c r="K108" s="244"/>
      <c r="L108" s="243"/>
    </row>
    <row r="109" spans="1:12" ht="30" customHeight="1">
      <c r="A109" s="242">
        <v>34300000</v>
      </c>
      <c r="B109" s="242">
        <v>377.96</v>
      </c>
      <c r="C109" s="242" t="s">
        <v>515</v>
      </c>
      <c r="D109" s="242" t="s">
        <v>519</v>
      </c>
      <c r="E109" s="242">
        <v>1</v>
      </c>
      <c r="F109" s="243"/>
      <c r="G109" s="242" t="s">
        <v>268</v>
      </c>
      <c r="H109" s="243"/>
      <c r="I109" s="243"/>
      <c r="J109" s="243"/>
      <c r="K109" s="244"/>
      <c r="L109" s="243" t="s">
        <v>544</v>
      </c>
    </row>
    <row r="110" spans="1:12" ht="30" customHeight="1">
      <c r="A110" s="242">
        <v>34300000</v>
      </c>
      <c r="B110" s="242">
        <v>516</v>
      </c>
      <c r="C110" s="242" t="s">
        <v>515</v>
      </c>
      <c r="D110" s="242" t="s">
        <v>518</v>
      </c>
      <c r="E110" s="242">
        <v>1</v>
      </c>
      <c r="F110" s="243"/>
      <c r="G110" s="242" t="s">
        <v>268</v>
      </c>
      <c r="H110" s="243"/>
      <c r="I110" s="243"/>
      <c r="J110" s="243"/>
      <c r="K110" s="244"/>
      <c r="L110" s="243" t="s">
        <v>545</v>
      </c>
    </row>
    <row r="111" spans="1:12" ht="30" customHeight="1">
      <c r="A111" s="242">
        <v>39200000</v>
      </c>
      <c r="B111" s="242">
        <v>2995</v>
      </c>
      <c r="C111" s="242" t="s">
        <v>530</v>
      </c>
      <c r="D111" s="242" t="s">
        <v>518</v>
      </c>
      <c r="E111" s="242">
        <v>1</v>
      </c>
      <c r="F111" s="243" t="s">
        <v>512</v>
      </c>
      <c r="G111" s="242" t="s">
        <v>268</v>
      </c>
      <c r="H111" s="243"/>
      <c r="I111" s="243"/>
      <c r="J111" s="243"/>
      <c r="K111" s="244"/>
      <c r="L111" s="243"/>
    </row>
    <row r="112" spans="1:12" ht="30" customHeight="1">
      <c r="A112" s="242">
        <v>39200000</v>
      </c>
      <c r="B112" s="242">
        <v>80</v>
      </c>
      <c r="C112" s="242" t="s">
        <v>530</v>
      </c>
      <c r="D112" s="242" t="s">
        <v>518</v>
      </c>
      <c r="E112" s="242">
        <v>1</v>
      </c>
      <c r="F112" s="243" t="s">
        <v>512</v>
      </c>
      <c r="G112" s="242" t="s">
        <v>268</v>
      </c>
      <c r="H112" s="243"/>
      <c r="I112" s="243"/>
      <c r="J112" s="243"/>
      <c r="K112" s="244"/>
      <c r="L112" s="243"/>
    </row>
    <row r="113" spans="1:12" ht="30" customHeight="1">
      <c r="A113" s="242">
        <v>39200000</v>
      </c>
      <c r="B113" s="242">
        <v>10</v>
      </c>
      <c r="C113" s="242" t="s">
        <v>530</v>
      </c>
      <c r="D113" s="242" t="s">
        <v>518</v>
      </c>
      <c r="E113" s="242">
        <v>1</v>
      </c>
      <c r="F113" s="243" t="s">
        <v>512</v>
      </c>
      <c r="G113" s="242" t="s">
        <v>268</v>
      </c>
      <c r="H113" s="243"/>
      <c r="I113" s="243"/>
      <c r="J113" s="243"/>
      <c r="K113" s="244"/>
      <c r="L113" s="243"/>
    </row>
    <row r="114" spans="1:12" ht="30" customHeight="1">
      <c r="A114" s="242">
        <v>39500000</v>
      </c>
      <c r="B114" s="242">
        <v>10</v>
      </c>
      <c r="C114" s="242" t="s">
        <v>530</v>
      </c>
      <c r="D114" s="242" t="s">
        <v>518</v>
      </c>
      <c r="E114" s="242">
        <v>1</v>
      </c>
      <c r="F114" s="243" t="s">
        <v>512</v>
      </c>
      <c r="G114" s="242" t="s">
        <v>268</v>
      </c>
      <c r="H114" s="243"/>
      <c r="I114" s="243"/>
      <c r="J114" s="243"/>
      <c r="K114" s="244"/>
      <c r="L114" s="243"/>
    </row>
    <row r="115" spans="1:12" ht="30" customHeight="1">
      <c r="A115" s="242">
        <v>39500000</v>
      </c>
      <c r="B115" s="242">
        <v>50</v>
      </c>
      <c r="C115" s="242" t="s">
        <v>530</v>
      </c>
      <c r="D115" s="242" t="s">
        <v>518</v>
      </c>
      <c r="E115" s="242">
        <v>1</v>
      </c>
      <c r="F115" s="243" t="s">
        <v>512</v>
      </c>
      <c r="G115" s="242" t="s">
        <v>268</v>
      </c>
      <c r="H115" s="243"/>
      <c r="I115" s="243"/>
      <c r="J115" s="243"/>
      <c r="K115" s="244"/>
      <c r="L115" s="243"/>
    </row>
    <row r="116" spans="1:12" ht="30" customHeight="1">
      <c r="A116" s="242">
        <v>39500000</v>
      </c>
      <c r="B116" s="242">
        <v>1299</v>
      </c>
      <c r="C116" s="242" t="s">
        <v>530</v>
      </c>
      <c r="D116" s="242" t="s">
        <v>518</v>
      </c>
      <c r="E116" s="242">
        <v>1</v>
      </c>
      <c r="F116" s="243" t="s">
        <v>512</v>
      </c>
      <c r="G116" s="242" t="s">
        <v>268</v>
      </c>
      <c r="H116" s="243"/>
      <c r="I116" s="243"/>
      <c r="J116" s="243"/>
      <c r="K116" s="244"/>
      <c r="L116" s="243"/>
    </row>
    <row r="117" spans="1:12" ht="36.75" customHeight="1">
      <c r="A117" s="242">
        <v>39700000</v>
      </c>
      <c r="B117" s="242">
        <v>22000</v>
      </c>
      <c r="C117" s="242" t="s">
        <v>524</v>
      </c>
      <c r="D117" s="242" t="s">
        <v>523</v>
      </c>
      <c r="E117" s="242">
        <v>1</v>
      </c>
      <c r="F117" s="243"/>
      <c r="G117" s="242" t="s">
        <v>268</v>
      </c>
      <c r="H117" s="243"/>
      <c r="I117" s="243"/>
      <c r="J117" s="243"/>
      <c r="K117" s="244"/>
      <c r="L117" s="243" t="s">
        <v>546</v>
      </c>
    </row>
    <row r="118" spans="1:12" ht="30" customHeight="1">
      <c r="A118" s="242">
        <v>39800000</v>
      </c>
      <c r="B118" s="242">
        <v>15320</v>
      </c>
      <c r="C118" s="242" t="s">
        <v>530</v>
      </c>
      <c r="D118" s="242" t="s">
        <v>518</v>
      </c>
      <c r="E118" s="242">
        <v>1</v>
      </c>
      <c r="F118" s="243" t="s">
        <v>512</v>
      </c>
      <c r="G118" s="242" t="s">
        <v>268</v>
      </c>
      <c r="H118" s="243"/>
      <c r="I118" s="243"/>
      <c r="J118" s="243"/>
      <c r="K118" s="244"/>
      <c r="L118" s="243"/>
    </row>
    <row r="119" spans="1:12" ht="30" customHeight="1">
      <c r="A119" s="242">
        <v>41100000</v>
      </c>
      <c r="B119" s="242">
        <v>4900</v>
      </c>
      <c r="C119" s="242" t="s">
        <v>510</v>
      </c>
      <c r="D119" s="242" t="s">
        <v>518</v>
      </c>
      <c r="E119" s="242">
        <v>1</v>
      </c>
      <c r="F119" s="243" t="s">
        <v>512</v>
      </c>
      <c r="G119" s="242" t="s">
        <v>268</v>
      </c>
      <c r="H119" s="243"/>
      <c r="I119" s="243"/>
      <c r="J119" s="243"/>
      <c r="K119" s="244"/>
      <c r="L119" s="243"/>
    </row>
    <row r="120" spans="1:12" ht="30" customHeight="1">
      <c r="A120" s="242">
        <v>42100000</v>
      </c>
      <c r="B120" s="242">
        <v>517</v>
      </c>
      <c r="C120" s="242" t="s">
        <v>510</v>
      </c>
      <c r="D120" s="242" t="s">
        <v>511</v>
      </c>
      <c r="E120" s="242">
        <v>1</v>
      </c>
      <c r="F120" s="243" t="s">
        <v>512</v>
      </c>
      <c r="G120" s="242" t="s">
        <v>268</v>
      </c>
      <c r="H120" s="243"/>
      <c r="I120" s="243"/>
      <c r="J120" s="243"/>
      <c r="K120" s="244"/>
      <c r="L120" s="243"/>
    </row>
    <row r="121" spans="1:12" ht="30" customHeight="1">
      <c r="A121" s="242">
        <v>42900000</v>
      </c>
      <c r="B121" s="242">
        <v>318</v>
      </c>
      <c r="C121" s="242" t="s">
        <v>510</v>
      </c>
      <c r="D121" s="242" t="s">
        <v>516</v>
      </c>
      <c r="E121" s="242">
        <v>1</v>
      </c>
      <c r="F121" s="243" t="s">
        <v>512</v>
      </c>
      <c r="G121" s="242" t="s">
        <v>268</v>
      </c>
      <c r="H121" s="243"/>
      <c r="I121" s="243"/>
      <c r="J121" s="243"/>
      <c r="K121" s="244"/>
      <c r="L121" s="243"/>
    </row>
    <row r="122" spans="1:12" ht="30" customHeight="1">
      <c r="A122" s="242">
        <v>44500000</v>
      </c>
      <c r="B122" s="242">
        <v>690</v>
      </c>
      <c r="C122" s="242" t="s">
        <v>510</v>
      </c>
      <c r="D122" s="242" t="s">
        <v>518</v>
      </c>
      <c r="E122" s="242">
        <v>1</v>
      </c>
      <c r="F122" s="243" t="s">
        <v>512</v>
      </c>
      <c r="G122" s="242" t="s">
        <v>268</v>
      </c>
      <c r="H122" s="243"/>
      <c r="I122" s="243"/>
      <c r="J122" s="243"/>
      <c r="K122" s="244"/>
      <c r="L122" s="243"/>
    </row>
    <row r="123" spans="1:12" ht="30" customHeight="1">
      <c r="A123" s="242">
        <v>45100000</v>
      </c>
      <c r="B123" s="242">
        <v>135000</v>
      </c>
      <c r="C123" s="242" t="s">
        <v>510</v>
      </c>
      <c r="D123" s="242" t="s">
        <v>523</v>
      </c>
      <c r="E123" s="242">
        <v>1</v>
      </c>
      <c r="F123" s="243" t="s">
        <v>539</v>
      </c>
      <c r="G123" s="242" t="s">
        <v>268</v>
      </c>
      <c r="H123" s="243"/>
      <c r="I123" s="243"/>
      <c r="J123" s="243"/>
      <c r="K123" s="244"/>
      <c r="L123" s="243"/>
    </row>
    <row r="124" spans="1:12" ht="40.5" customHeight="1">
      <c r="A124" s="242">
        <v>45100000</v>
      </c>
      <c r="B124" s="242">
        <v>83155.58</v>
      </c>
      <c r="C124" s="242" t="s">
        <v>530</v>
      </c>
      <c r="D124" s="242" t="s">
        <v>518</v>
      </c>
      <c r="E124" s="242">
        <v>2</v>
      </c>
      <c r="F124" s="243" t="s">
        <v>512</v>
      </c>
      <c r="G124" s="242" t="s">
        <v>268</v>
      </c>
      <c r="H124" s="243"/>
      <c r="I124" s="243"/>
      <c r="J124" s="243"/>
      <c r="K124" s="244"/>
      <c r="L124" s="243" t="s">
        <v>547</v>
      </c>
    </row>
    <row r="125" spans="1:12" ht="30" customHeight="1">
      <c r="A125" s="242">
        <v>50100000</v>
      </c>
      <c r="B125" s="242">
        <v>10000</v>
      </c>
      <c r="C125" s="242" t="s">
        <v>530</v>
      </c>
      <c r="D125" s="242" t="s">
        <v>518</v>
      </c>
      <c r="E125" s="242">
        <v>1</v>
      </c>
      <c r="F125" s="243" t="s">
        <v>512</v>
      </c>
      <c r="G125" s="242" t="s">
        <v>268</v>
      </c>
      <c r="H125" s="243"/>
      <c r="I125" s="243"/>
      <c r="J125" s="243"/>
      <c r="K125" s="244"/>
      <c r="L125" s="243" t="s">
        <v>514</v>
      </c>
    </row>
    <row r="126" spans="1:12" ht="30" customHeight="1">
      <c r="A126" s="242">
        <v>50100000</v>
      </c>
      <c r="B126" s="242">
        <v>10000</v>
      </c>
      <c r="C126" s="242" t="s">
        <v>510</v>
      </c>
      <c r="D126" s="242" t="s">
        <v>518</v>
      </c>
      <c r="E126" s="242">
        <v>1</v>
      </c>
      <c r="F126" s="243" t="s">
        <v>548</v>
      </c>
      <c r="G126" s="242" t="s">
        <v>268</v>
      </c>
      <c r="H126" s="243"/>
      <c r="I126" s="243"/>
      <c r="J126" s="243"/>
      <c r="K126" s="244"/>
      <c r="L126" s="243"/>
    </row>
    <row r="127" spans="1:12" ht="30" customHeight="1">
      <c r="A127" s="242">
        <v>50100000</v>
      </c>
      <c r="B127" s="242">
        <v>6500</v>
      </c>
      <c r="C127" s="242" t="s">
        <v>510</v>
      </c>
      <c r="D127" s="242" t="s">
        <v>518</v>
      </c>
      <c r="E127" s="242">
        <v>3</v>
      </c>
      <c r="F127" s="243" t="s">
        <v>548</v>
      </c>
      <c r="G127" s="242" t="s">
        <v>268</v>
      </c>
      <c r="H127" s="243"/>
      <c r="I127" s="243"/>
      <c r="J127" s="243"/>
      <c r="K127" s="244"/>
      <c r="L127" s="243" t="s">
        <v>549</v>
      </c>
    </row>
    <row r="128" spans="1:12" ht="30" customHeight="1">
      <c r="A128" s="242">
        <v>50300000</v>
      </c>
      <c r="B128" s="242">
        <v>2700</v>
      </c>
      <c r="C128" s="242" t="s">
        <v>510</v>
      </c>
      <c r="D128" s="242" t="s">
        <v>518</v>
      </c>
      <c r="E128" s="242">
        <v>1</v>
      </c>
      <c r="F128" s="243" t="s">
        <v>512</v>
      </c>
      <c r="G128" s="242" t="s">
        <v>268</v>
      </c>
      <c r="H128" s="243"/>
      <c r="I128" s="243"/>
      <c r="J128" s="243"/>
      <c r="K128" s="244"/>
      <c r="L128" s="243"/>
    </row>
    <row r="129" spans="1:12" ht="30" customHeight="1">
      <c r="A129" s="242">
        <v>50300000</v>
      </c>
      <c r="B129" s="242">
        <v>2070</v>
      </c>
      <c r="C129" s="242" t="s">
        <v>510</v>
      </c>
      <c r="D129" s="242" t="s">
        <v>523</v>
      </c>
      <c r="E129" s="242">
        <v>1</v>
      </c>
      <c r="F129" s="243" t="s">
        <v>512</v>
      </c>
      <c r="G129" s="242" t="s">
        <v>268</v>
      </c>
      <c r="H129" s="243"/>
      <c r="I129" s="243"/>
      <c r="J129" s="243"/>
      <c r="K129" s="244"/>
      <c r="L129" s="243"/>
    </row>
    <row r="130" spans="1:12" ht="30" customHeight="1">
      <c r="A130" s="242">
        <v>50500000</v>
      </c>
      <c r="B130" s="242">
        <v>465</v>
      </c>
      <c r="C130" s="242" t="s">
        <v>510</v>
      </c>
      <c r="D130" s="242" t="s">
        <v>511</v>
      </c>
      <c r="E130" s="242">
        <v>1</v>
      </c>
      <c r="F130" s="243" t="s">
        <v>512</v>
      </c>
      <c r="G130" s="242" t="s">
        <v>268</v>
      </c>
      <c r="H130" s="243"/>
      <c r="I130" s="243"/>
      <c r="J130" s="243"/>
      <c r="K130" s="244"/>
      <c r="L130" s="243"/>
    </row>
    <row r="131" spans="1:12" ht="30" customHeight="1">
      <c r="A131" s="242">
        <v>50500000</v>
      </c>
      <c r="B131" s="242">
        <v>62.5</v>
      </c>
      <c r="C131" s="242" t="s">
        <v>510</v>
      </c>
      <c r="D131" s="242" t="s">
        <v>523</v>
      </c>
      <c r="E131" s="242">
        <v>1</v>
      </c>
      <c r="F131" s="243" t="s">
        <v>512</v>
      </c>
      <c r="G131" s="242" t="s">
        <v>268</v>
      </c>
      <c r="H131" s="243"/>
      <c r="I131" s="243"/>
      <c r="J131" s="243"/>
      <c r="K131" s="244"/>
      <c r="L131" s="243"/>
    </row>
    <row r="132" spans="1:12" ht="30" customHeight="1">
      <c r="A132" s="242">
        <v>50700000</v>
      </c>
      <c r="B132" s="242">
        <v>85000</v>
      </c>
      <c r="C132" s="242" t="s">
        <v>530</v>
      </c>
      <c r="D132" s="242" t="s">
        <v>518</v>
      </c>
      <c r="E132" s="242">
        <v>1</v>
      </c>
      <c r="F132" s="243" t="s">
        <v>512</v>
      </c>
      <c r="G132" s="242" t="s">
        <v>268</v>
      </c>
      <c r="H132" s="243"/>
      <c r="I132" s="243"/>
      <c r="J132" s="243"/>
      <c r="K132" s="244"/>
      <c r="L132" s="243"/>
    </row>
    <row r="133" spans="1:12" ht="30" customHeight="1">
      <c r="A133" s="242">
        <v>55100000</v>
      </c>
      <c r="B133" s="242">
        <v>2516.04</v>
      </c>
      <c r="C133" s="242" t="s">
        <v>510</v>
      </c>
      <c r="D133" s="242" t="s">
        <v>518</v>
      </c>
      <c r="E133" s="242">
        <v>1</v>
      </c>
      <c r="F133" s="243" t="s">
        <v>525</v>
      </c>
      <c r="G133" s="242" t="s">
        <v>268</v>
      </c>
      <c r="H133" s="243"/>
      <c r="I133" s="243"/>
      <c r="J133" s="243"/>
      <c r="K133" s="244"/>
      <c r="L133" s="243"/>
    </row>
    <row r="134" spans="1:12" ht="30" customHeight="1">
      <c r="A134" s="242">
        <v>55300000</v>
      </c>
      <c r="B134" s="242">
        <v>65000</v>
      </c>
      <c r="C134" s="242" t="s">
        <v>530</v>
      </c>
      <c r="D134" s="242" t="s">
        <v>518</v>
      </c>
      <c r="E134" s="242">
        <v>1</v>
      </c>
      <c r="F134" s="243" t="s">
        <v>512</v>
      </c>
      <c r="G134" s="242" t="s">
        <v>268</v>
      </c>
      <c r="H134" s="243"/>
      <c r="I134" s="243"/>
      <c r="J134" s="243"/>
      <c r="K134" s="244"/>
      <c r="L134" s="243"/>
    </row>
    <row r="135" spans="1:12" ht="30" customHeight="1">
      <c r="A135" s="242">
        <v>60100000</v>
      </c>
      <c r="B135" s="242">
        <v>3300</v>
      </c>
      <c r="C135" s="242" t="s">
        <v>524</v>
      </c>
      <c r="D135" s="242" t="s">
        <v>511</v>
      </c>
      <c r="E135" s="242">
        <v>1</v>
      </c>
      <c r="F135" s="243"/>
      <c r="G135" s="242" t="s">
        <v>268</v>
      </c>
      <c r="H135" s="243"/>
      <c r="I135" s="243"/>
      <c r="J135" s="243"/>
      <c r="K135" s="244"/>
      <c r="L135" s="243"/>
    </row>
    <row r="136" spans="1:12" ht="30" customHeight="1">
      <c r="A136" s="242">
        <v>60100000</v>
      </c>
      <c r="B136" s="242">
        <v>4540</v>
      </c>
      <c r="C136" s="242" t="s">
        <v>530</v>
      </c>
      <c r="D136" s="242" t="s">
        <v>518</v>
      </c>
      <c r="E136" s="242">
        <v>1</v>
      </c>
      <c r="F136" s="243" t="s">
        <v>512</v>
      </c>
      <c r="G136" s="242" t="s">
        <v>268</v>
      </c>
      <c r="H136" s="243"/>
      <c r="I136" s="243"/>
      <c r="J136" s="243"/>
      <c r="K136" s="244"/>
      <c r="L136" s="243" t="s">
        <v>550</v>
      </c>
    </row>
    <row r="137" spans="1:12" ht="30" customHeight="1">
      <c r="A137" s="242">
        <v>63500000</v>
      </c>
      <c r="B137" s="242">
        <v>1850</v>
      </c>
      <c r="C137" s="242" t="s">
        <v>510</v>
      </c>
      <c r="D137" s="242" t="s">
        <v>511</v>
      </c>
      <c r="E137" s="242">
        <v>1</v>
      </c>
      <c r="F137" s="243" t="s">
        <v>512</v>
      </c>
      <c r="G137" s="242" t="s">
        <v>268</v>
      </c>
      <c r="H137" s="243"/>
      <c r="I137" s="243"/>
      <c r="J137" s="243"/>
      <c r="K137" s="244"/>
      <c r="L137" s="243"/>
    </row>
    <row r="138" spans="1:12" ht="30" customHeight="1">
      <c r="A138" s="242">
        <v>63500000</v>
      </c>
      <c r="B138" s="242">
        <v>6092</v>
      </c>
      <c r="C138" s="242" t="s">
        <v>510</v>
      </c>
      <c r="D138" s="242" t="s">
        <v>518</v>
      </c>
      <c r="E138" s="242">
        <v>1</v>
      </c>
      <c r="F138" s="248" t="s">
        <v>525</v>
      </c>
      <c r="G138" s="242" t="s">
        <v>268</v>
      </c>
      <c r="H138" s="243"/>
      <c r="I138" s="243"/>
      <c r="J138" s="243"/>
      <c r="K138" s="244"/>
      <c r="L138" s="243"/>
    </row>
    <row r="139" spans="1:12" ht="30" customHeight="1">
      <c r="A139" s="242">
        <v>63700000</v>
      </c>
      <c r="B139" s="242">
        <v>2500</v>
      </c>
      <c r="C139" s="242" t="s">
        <v>510</v>
      </c>
      <c r="D139" s="242" t="s">
        <v>518</v>
      </c>
      <c r="E139" s="242">
        <v>1</v>
      </c>
      <c r="F139" s="248" t="s">
        <v>512</v>
      </c>
      <c r="G139" s="242" t="s">
        <v>268</v>
      </c>
      <c r="H139" s="243"/>
      <c r="I139" s="243"/>
      <c r="J139" s="243"/>
      <c r="K139" s="244"/>
      <c r="L139" s="243"/>
    </row>
    <row r="140" spans="1:12" ht="30" customHeight="1">
      <c r="A140" s="242">
        <v>66100000</v>
      </c>
      <c r="B140" s="242">
        <v>1000</v>
      </c>
      <c r="C140" s="242" t="s">
        <v>510</v>
      </c>
      <c r="D140" s="242" t="s">
        <v>518</v>
      </c>
      <c r="E140" s="242">
        <v>1</v>
      </c>
      <c r="F140" s="248" t="s">
        <v>512</v>
      </c>
      <c r="G140" s="242" t="s">
        <v>268</v>
      </c>
      <c r="H140" s="243"/>
      <c r="I140" s="243"/>
      <c r="J140" s="243"/>
      <c r="K140" s="244"/>
      <c r="L140" s="243"/>
    </row>
    <row r="141" spans="1:12" ht="30" customHeight="1">
      <c r="A141" s="242">
        <v>66100000</v>
      </c>
      <c r="B141" s="242">
        <v>2000</v>
      </c>
      <c r="C141" s="242" t="s">
        <v>510</v>
      </c>
      <c r="D141" s="242" t="s">
        <v>518</v>
      </c>
      <c r="E141" s="242">
        <v>1</v>
      </c>
      <c r="F141" s="248" t="s">
        <v>512</v>
      </c>
      <c r="G141" s="242" t="s">
        <v>268</v>
      </c>
      <c r="H141" s="243"/>
      <c r="I141" s="243"/>
      <c r="J141" s="243"/>
      <c r="K141" s="244"/>
      <c r="L141" s="243"/>
    </row>
    <row r="142" spans="1:12" ht="30" customHeight="1">
      <c r="A142" s="242">
        <v>66500000</v>
      </c>
      <c r="B142" s="242">
        <v>5416.6</v>
      </c>
      <c r="C142" s="242" t="s">
        <v>524</v>
      </c>
      <c r="D142" s="242" t="s">
        <v>518</v>
      </c>
      <c r="E142" s="242">
        <v>1</v>
      </c>
      <c r="F142" s="248"/>
      <c r="G142" s="242" t="s">
        <v>268</v>
      </c>
      <c r="H142" s="243"/>
      <c r="I142" s="243"/>
      <c r="J142" s="243"/>
      <c r="K142" s="244"/>
      <c r="L142" s="243" t="s">
        <v>551</v>
      </c>
    </row>
    <row r="143" spans="1:12" ht="30" customHeight="1">
      <c r="A143" s="242">
        <v>71200000</v>
      </c>
      <c r="B143" s="242">
        <v>1537.31</v>
      </c>
      <c r="C143" s="242" t="s">
        <v>510</v>
      </c>
      <c r="D143" s="242" t="s">
        <v>523</v>
      </c>
      <c r="E143" s="242">
        <v>1</v>
      </c>
      <c r="F143" s="248" t="s">
        <v>526</v>
      </c>
      <c r="G143" s="242" t="s">
        <v>268</v>
      </c>
      <c r="H143" s="243"/>
      <c r="I143" s="243"/>
      <c r="J143" s="243"/>
      <c r="K143" s="244"/>
      <c r="L143" s="243"/>
    </row>
    <row r="144" spans="1:12" ht="30" customHeight="1">
      <c r="A144" s="242">
        <v>71600000</v>
      </c>
      <c r="B144" s="242">
        <v>79</v>
      </c>
      <c r="C144" s="242" t="s">
        <v>510</v>
      </c>
      <c r="D144" s="242" t="s">
        <v>516</v>
      </c>
      <c r="E144" s="242">
        <v>1</v>
      </c>
      <c r="F144" s="248" t="s">
        <v>512</v>
      </c>
      <c r="G144" s="242" t="s">
        <v>268</v>
      </c>
      <c r="H144" s="243"/>
      <c r="I144" s="243"/>
      <c r="J144" s="243"/>
      <c r="K144" s="244"/>
      <c r="L144" s="243"/>
    </row>
    <row r="145" spans="1:12" ht="30" customHeight="1">
      <c r="A145" s="242">
        <v>72200000</v>
      </c>
      <c r="B145" s="242">
        <v>10000</v>
      </c>
      <c r="C145" s="242" t="s">
        <v>510</v>
      </c>
      <c r="D145" s="242" t="s">
        <v>518</v>
      </c>
      <c r="E145" s="242">
        <v>1</v>
      </c>
      <c r="F145" s="248" t="s">
        <v>539</v>
      </c>
      <c r="G145" s="242" t="s">
        <v>268</v>
      </c>
      <c r="H145" s="243"/>
      <c r="I145" s="243"/>
      <c r="J145" s="243"/>
      <c r="K145" s="244"/>
      <c r="L145" s="243" t="s">
        <v>311</v>
      </c>
    </row>
    <row r="146" spans="1:12" ht="30" customHeight="1">
      <c r="A146" s="242">
        <v>72200000</v>
      </c>
      <c r="B146" s="242">
        <v>100</v>
      </c>
      <c r="C146" s="242" t="s">
        <v>510</v>
      </c>
      <c r="D146" s="242" t="s">
        <v>518</v>
      </c>
      <c r="E146" s="242">
        <v>1</v>
      </c>
      <c r="F146" s="248" t="s">
        <v>512</v>
      </c>
      <c r="G146" s="242" t="s">
        <v>268</v>
      </c>
      <c r="H146" s="243"/>
      <c r="I146" s="243"/>
      <c r="J146" s="243"/>
      <c r="K146" s="244"/>
      <c r="L146" s="243"/>
    </row>
    <row r="147" spans="1:12" ht="30" customHeight="1">
      <c r="A147" s="242">
        <v>72300000</v>
      </c>
      <c r="B147" s="242">
        <v>3037.5</v>
      </c>
      <c r="C147" s="242" t="s">
        <v>530</v>
      </c>
      <c r="D147" s="242" t="s">
        <v>518</v>
      </c>
      <c r="E147" s="242">
        <v>1</v>
      </c>
      <c r="F147" s="248" t="s">
        <v>512</v>
      </c>
      <c r="G147" s="242" t="s">
        <v>268</v>
      </c>
      <c r="H147" s="243"/>
      <c r="I147" s="243"/>
      <c r="J147" s="243"/>
      <c r="K147" s="244"/>
      <c r="L147" s="243" t="s">
        <v>551</v>
      </c>
    </row>
    <row r="148" spans="1:12" ht="30" customHeight="1">
      <c r="A148" s="242">
        <v>72400000</v>
      </c>
      <c r="B148" s="242">
        <v>5000</v>
      </c>
      <c r="C148" s="242" t="s">
        <v>510</v>
      </c>
      <c r="D148" s="242" t="s">
        <v>518</v>
      </c>
      <c r="E148" s="242">
        <v>1</v>
      </c>
      <c r="F148" s="248" t="s">
        <v>526</v>
      </c>
      <c r="G148" s="242" t="s">
        <v>268</v>
      </c>
      <c r="H148" s="243"/>
      <c r="I148" s="243"/>
      <c r="J148" s="243"/>
      <c r="K148" s="244"/>
      <c r="L148" s="243"/>
    </row>
    <row r="149" spans="1:12" ht="30" customHeight="1">
      <c r="A149" s="242">
        <v>72600000</v>
      </c>
      <c r="B149" s="242">
        <v>66984</v>
      </c>
      <c r="C149" s="242" t="s">
        <v>510</v>
      </c>
      <c r="D149" s="242" t="s">
        <v>518</v>
      </c>
      <c r="E149" s="242">
        <v>1</v>
      </c>
      <c r="F149" s="248" t="s">
        <v>539</v>
      </c>
      <c r="G149" s="242" t="s">
        <v>268</v>
      </c>
      <c r="H149" s="243"/>
      <c r="I149" s="243"/>
      <c r="J149" s="243"/>
      <c r="K149" s="244"/>
      <c r="L149" s="243"/>
    </row>
    <row r="150" spans="1:12" ht="30" customHeight="1">
      <c r="A150" s="242">
        <v>73100000</v>
      </c>
      <c r="B150" s="242">
        <v>1669.7</v>
      </c>
      <c r="C150" s="242" t="s">
        <v>510</v>
      </c>
      <c r="D150" s="242" t="s">
        <v>511</v>
      </c>
      <c r="E150" s="242">
        <v>1</v>
      </c>
      <c r="F150" s="248" t="s">
        <v>526</v>
      </c>
      <c r="G150" s="242" t="s">
        <v>268</v>
      </c>
      <c r="H150" s="243"/>
      <c r="I150" s="243"/>
      <c r="J150" s="243"/>
      <c r="K150" s="244"/>
      <c r="L150" s="243"/>
    </row>
    <row r="151" spans="1:12" ht="30" customHeight="1">
      <c r="A151" s="242">
        <v>75100000</v>
      </c>
      <c r="B151" s="242">
        <v>375</v>
      </c>
      <c r="C151" s="242" t="s">
        <v>510</v>
      </c>
      <c r="D151" s="242" t="s">
        <v>519</v>
      </c>
      <c r="E151" s="242">
        <v>1</v>
      </c>
      <c r="F151" s="248" t="s">
        <v>526</v>
      </c>
      <c r="G151" s="242" t="s">
        <v>268</v>
      </c>
      <c r="H151" s="243"/>
      <c r="I151" s="243"/>
      <c r="J151" s="243"/>
      <c r="K151" s="244"/>
      <c r="L151" s="243" t="s">
        <v>552</v>
      </c>
    </row>
    <row r="152" spans="1:12" ht="30" customHeight="1">
      <c r="A152" s="242">
        <v>75100000</v>
      </c>
      <c r="B152" s="242">
        <v>3000</v>
      </c>
      <c r="C152" s="242" t="s">
        <v>510</v>
      </c>
      <c r="D152" s="242" t="s">
        <v>518</v>
      </c>
      <c r="E152" s="242">
        <v>1</v>
      </c>
      <c r="F152" s="248" t="s">
        <v>526</v>
      </c>
      <c r="G152" s="242" t="s">
        <v>268</v>
      </c>
      <c r="H152" s="243"/>
      <c r="I152" s="243"/>
      <c r="J152" s="243"/>
      <c r="K152" s="244"/>
      <c r="L152" s="243"/>
    </row>
    <row r="153" spans="1:12" ht="30" customHeight="1">
      <c r="A153" s="249">
        <v>75200000</v>
      </c>
      <c r="B153" s="249">
        <v>0</v>
      </c>
      <c r="C153" s="249" t="s">
        <v>510</v>
      </c>
      <c r="D153" s="249" t="s">
        <v>519</v>
      </c>
      <c r="E153" s="249">
        <v>1</v>
      </c>
      <c r="F153" s="250" t="s">
        <v>526</v>
      </c>
      <c r="G153" s="249" t="s">
        <v>268</v>
      </c>
      <c r="H153" s="243"/>
      <c r="I153" s="243"/>
      <c r="J153" s="243"/>
      <c r="K153" s="244"/>
      <c r="L153" s="251"/>
    </row>
    <row r="154" spans="1:12" ht="30" customHeight="1">
      <c r="A154" s="242">
        <v>76500000</v>
      </c>
      <c r="B154" s="242">
        <v>1712</v>
      </c>
      <c r="C154" s="242" t="s">
        <v>510</v>
      </c>
      <c r="D154" s="242" t="s">
        <v>523</v>
      </c>
      <c r="E154" s="242">
        <v>1</v>
      </c>
      <c r="F154" s="248" t="s">
        <v>512</v>
      </c>
      <c r="G154" s="242" t="s">
        <v>268</v>
      </c>
      <c r="H154" s="243"/>
      <c r="I154" s="243"/>
      <c r="J154" s="243"/>
      <c r="K154" s="244"/>
      <c r="L154" s="243"/>
    </row>
    <row r="155" spans="1:12" ht="30" customHeight="1">
      <c r="A155" s="242">
        <v>77300000</v>
      </c>
      <c r="B155" s="242">
        <v>1000</v>
      </c>
      <c r="C155" s="242" t="s">
        <v>510</v>
      </c>
      <c r="D155" s="242" t="s">
        <v>519</v>
      </c>
      <c r="E155" s="242">
        <v>1</v>
      </c>
      <c r="F155" s="243" t="s">
        <v>512</v>
      </c>
      <c r="G155" s="242" t="s">
        <v>268</v>
      </c>
      <c r="H155" s="243"/>
      <c r="I155" s="243"/>
      <c r="J155" s="243"/>
      <c r="K155" s="244"/>
      <c r="L155" s="243"/>
    </row>
    <row r="156" spans="1:12" ht="30" customHeight="1">
      <c r="A156" s="242">
        <v>79100000</v>
      </c>
      <c r="B156" s="242">
        <v>3231</v>
      </c>
      <c r="C156" s="242" t="s">
        <v>510</v>
      </c>
      <c r="D156" s="242" t="s">
        <v>518</v>
      </c>
      <c r="E156" s="242">
        <v>1</v>
      </c>
      <c r="F156" s="243" t="s">
        <v>529</v>
      </c>
      <c r="G156" s="242" t="s">
        <v>268</v>
      </c>
      <c r="H156" s="243"/>
      <c r="I156" s="243"/>
      <c r="J156" s="243"/>
      <c r="K156" s="244"/>
      <c r="L156" s="243"/>
    </row>
    <row r="157" spans="1:12" ht="30" customHeight="1">
      <c r="A157" s="242">
        <v>79200000</v>
      </c>
      <c r="B157" s="242">
        <v>4900</v>
      </c>
      <c r="C157" s="242" t="s">
        <v>510</v>
      </c>
      <c r="D157" s="242" t="s">
        <v>518</v>
      </c>
      <c r="E157" s="242">
        <v>1</v>
      </c>
      <c r="F157" s="243" t="s">
        <v>512</v>
      </c>
      <c r="G157" s="242" t="s">
        <v>268</v>
      </c>
      <c r="H157" s="243"/>
      <c r="I157" s="243"/>
      <c r="J157" s="243"/>
      <c r="K157" s="244"/>
      <c r="L157" s="243"/>
    </row>
    <row r="158" spans="1:12" ht="30" customHeight="1">
      <c r="A158" s="242">
        <v>79300000</v>
      </c>
      <c r="B158" s="242">
        <v>36204.5</v>
      </c>
      <c r="C158" s="242" t="s">
        <v>524</v>
      </c>
      <c r="D158" s="242" t="s">
        <v>518</v>
      </c>
      <c r="E158" s="242">
        <v>1</v>
      </c>
      <c r="F158" s="243"/>
      <c r="G158" s="242" t="s">
        <v>268</v>
      </c>
      <c r="H158" s="243"/>
      <c r="I158" s="243"/>
      <c r="J158" s="243"/>
      <c r="K158" s="244"/>
      <c r="L158" s="243" t="s">
        <v>553</v>
      </c>
    </row>
    <row r="159" spans="1:12" ht="30" customHeight="1">
      <c r="A159" s="242">
        <v>79400000</v>
      </c>
      <c r="B159" s="242">
        <v>20200</v>
      </c>
      <c r="C159" s="242" t="s">
        <v>524</v>
      </c>
      <c r="D159" s="242" t="s">
        <v>523</v>
      </c>
      <c r="E159" s="242">
        <v>3</v>
      </c>
      <c r="F159" s="243"/>
      <c r="G159" s="242" t="s">
        <v>268</v>
      </c>
      <c r="H159" s="243"/>
      <c r="I159" s="243"/>
      <c r="J159" s="243"/>
      <c r="K159" s="244"/>
      <c r="L159" s="243"/>
    </row>
    <row r="160" spans="1:12" ht="30" customHeight="1">
      <c r="A160" s="242">
        <v>79500000</v>
      </c>
      <c r="B160" s="242">
        <v>18560</v>
      </c>
      <c r="C160" s="242" t="s">
        <v>530</v>
      </c>
      <c r="D160" s="242" t="s">
        <v>518</v>
      </c>
      <c r="E160" s="242">
        <v>1</v>
      </c>
      <c r="F160" s="243" t="s">
        <v>512</v>
      </c>
      <c r="G160" s="242" t="s">
        <v>268</v>
      </c>
      <c r="H160" s="243"/>
      <c r="I160" s="243"/>
      <c r="J160" s="243"/>
      <c r="K160" s="244"/>
      <c r="L160" s="243"/>
    </row>
    <row r="161" spans="1:12" ht="30" customHeight="1">
      <c r="A161" s="242">
        <v>79600000</v>
      </c>
      <c r="B161" s="242">
        <v>120</v>
      </c>
      <c r="C161" s="242" t="s">
        <v>510</v>
      </c>
      <c r="D161" s="242" t="s">
        <v>523</v>
      </c>
      <c r="E161" s="242">
        <v>1</v>
      </c>
      <c r="F161" s="243" t="s">
        <v>512</v>
      </c>
      <c r="G161" s="242" t="s">
        <v>268</v>
      </c>
      <c r="H161" s="243"/>
      <c r="I161" s="243"/>
      <c r="J161" s="243"/>
      <c r="K161" s="244"/>
      <c r="L161" s="243"/>
    </row>
    <row r="162" spans="1:12" ht="30" customHeight="1">
      <c r="A162" s="242">
        <v>79600000</v>
      </c>
      <c r="B162" s="242">
        <v>2310</v>
      </c>
      <c r="C162" s="242" t="s">
        <v>510</v>
      </c>
      <c r="D162" s="242" t="s">
        <v>523</v>
      </c>
      <c r="E162" s="242">
        <v>1</v>
      </c>
      <c r="F162" s="243" t="s">
        <v>512</v>
      </c>
      <c r="G162" s="242" t="s">
        <v>268</v>
      </c>
      <c r="H162" s="243"/>
      <c r="I162" s="243"/>
      <c r="J162" s="243"/>
      <c r="K162" s="244"/>
      <c r="L162" s="243"/>
    </row>
    <row r="163" spans="1:12" ht="30" customHeight="1">
      <c r="A163" s="242">
        <v>79600000</v>
      </c>
      <c r="B163" s="242">
        <v>924</v>
      </c>
      <c r="C163" s="242" t="s">
        <v>510</v>
      </c>
      <c r="D163" s="242" t="s">
        <v>523</v>
      </c>
      <c r="E163" s="242">
        <v>1</v>
      </c>
      <c r="F163" s="243" t="s">
        <v>512</v>
      </c>
      <c r="G163" s="242" t="s">
        <v>268</v>
      </c>
      <c r="H163" s="243"/>
      <c r="I163" s="243"/>
      <c r="J163" s="243"/>
      <c r="K163" s="244"/>
      <c r="L163" s="243"/>
    </row>
    <row r="164" spans="1:12" ht="30" customHeight="1">
      <c r="A164" s="242">
        <v>79800000</v>
      </c>
      <c r="B164" s="242">
        <v>8400</v>
      </c>
      <c r="C164" s="242" t="s">
        <v>530</v>
      </c>
      <c r="D164" s="242" t="s">
        <v>518</v>
      </c>
      <c r="E164" s="242">
        <v>1</v>
      </c>
      <c r="F164" s="243" t="s">
        <v>512</v>
      </c>
      <c r="G164" s="242" t="s">
        <v>268</v>
      </c>
      <c r="H164" s="243"/>
      <c r="I164" s="243"/>
      <c r="J164" s="243"/>
      <c r="K164" s="244"/>
      <c r="L164" s="243"/>
    </row>
    <row r="165" spans="1:12" ht="30" customHeight="1">
      <c r="A165" s="242">
        <v>79800000</v>
      </c>
      <c r="B165" s="242">
        <v>4750</v>
      </c>
      <c r="C165" s="242" t="s">
        <v>524</v>
      </c>
      <c r="D165" s="242" t="s">
        <v>518</v>
      </c>
      <c r="E165" s="242">
        <v>1</v>
      </c>
      <c r="F165" s="243" t="s">
        <v>512</v>
      </c>
      <c r="G165" s="242" t="s">
        <v>268</v>
      </c>
      <c r="H165" s="243"/>
      <c r="I165" s="243"/>
      <c r="J165" s="243"/>
      <c r="K165" s="244"/>
      <c r="L165" s="243"/>
    </row>
    <row r="166" spans="1:12" ht="30" customHeight="1">
      <c r="A166" s="242">
        <v>79800000</v>
      </c>
      <c r="B166" s="242">
        <v>3900</v>
      </c>
      <c r="C166" s="242" t="s">
        <v>530</v>
      </c>
      <c r="D166" s="242" t="s">
        <v>518</v>
      </c>
      <c r="E166" s="242">
        <v>1</v>
      </c>
      <c r="F166" s="243" t="s">
        <v>512</v>
      </c>
      <c r="G166" s="242" t="s">
        <v>268</v>
      </c>
      <c r="H166" s="243"/>
      <c r="I166" s="243"/>
      <c r="J166" s="243"/>
      <c r="K166" s="244"/>
      <c r="L166" s="243"/>
    </row>
    <row r="167" spans="1:12" ht="30" customHeight="1">
      <c r="A167" s="242">
        <v>79900000</v>
      </c>
      <c r="B167" s="242">
        <v>321</v>
      </c>
      <c r="C167" s="242" t="s">
        <v>510</v>
      </c>
      <c r="D167" s="242" t="s">
        <v>518</v>
      </c>
      <c r="E167" s="242">
        <v>1</v>
      </c>
      <c r="F167" s="242" t="s">
        <v>554</v>
      </c>
      <c r="G167" s="242" t="s">
        <v>268</v>
      </c>
      <c r="H167" s="243"/>
      <c r="I167" s="243"/>
      <c r="J167" s="243"/>
      <c r="K167" s="244"/>
      <c r="L167" s="243"/>
    </row>
    <row r="168" spans="1:12" ht="30" customHeight="1">
      <c r="A168" s="242">
        <v>79900000</v>
      </c>
      <c r="B168" s="242">
        <v>1038</v>
      </c>
      <c r="C168" s="242" t="s">
        <v>510</v>
      </c>
      <c r="D168" s="242" t="s">
        <v>518</v>
      </c>
      <c r="E168" s="242">
        <v>1</v>
      </c>
      <c r="F168" s="243" t="s">
        <v>525</v>
      </c>
      <c r="G168" s="242" t="s">
        <v>268</v>
      </c>
      <c r="H168" s="243"/>
      <c r="I168" s="243"/>
      <c r="J168" s="243"/>
      <c r="K168" s="244"/>
      <c r="L168" s="243"/>
    </row>
    <row r="169" spans="1:12" ht="30" customHeight="1">
      <c r="A169" s="242">
        <v>79900000</v>
      </c>
      <c r="B169" s="242">
        <v>4881</v>
      </c>
      <c r="C169" s="242" t="s">
        <v>510</v>
      </c>
      <c r="D169" s="242" t="s">
        <v>518</v>
      </c>
      <c r="E169" s="242">
        <v>1</v>
      </c>
      <c r="F169" s="243" t="s">
        <v>525</v>
      </c>
      <c r="G169" s="242" t="s">
        <v>268</v>
      </c>
      <c r="H169" s="243"/>
      <c r="I169" s="243"/>
      <c r="J169" s="243"/>
      <c r="K169" s="244"/>
      <c r="L169" s="243"/>
    </row>
    <row r="170" spans="1:12" ht="30" customHeight="1">
      <c r="A170" s="242">
        <v>80500000</v>
      </c>
      <c r="B170" s="242">
        <v>300</v>
      </c>
      <c r="C170" s="242" t="s">
        <v>510</v>
      </c>
      <c r="D170" s="242" t="s">
        <v>511</v>
      </c>
      <c r="E170" s="242">
        <v>1</v>
      </c>
      <c r="F170" s="243" t="s">
        <v>512</v>
      </c>
      <c r="G170" s="242" t="s">
        <v>268</v>
      </c>
      <c r="H170" s="243"/>
      <c r="I170" s="243"/>
      <c r="J170" s="243"/>
      <c r="K170" s="244"/>
      <c r="L170" s="243"/>
    </row>
    <row r="171" spans="1:12" ht="30" customHeight="1">
      <c r="A171" s="242">
        <v>80500000</v>
      </c>
      <c r="B171" s="242">
        <v>4150</v>
      </c>
      <c r="C171" s="242" t="s">
        <v>510</v>
      </c>
      <c r="D171" s="242" t="s">
        <v>511</v>
      </c>
      <c r="E171" s="242">
        <v>1</v>
      </c>
      <c r="F171" s="243" t="s">
        <v>526</v>
      </c>
      <c r="G171" s="242" t="s">
        <v>268</v>
      </c>
      <c r="H171" s="243"/>
      <c r="I171" s="243"/>
      <c r="J171" s="243"/>
      <c r="K171" s="244"/>
      <c r="L171" s="243"/>
    </row>
    <row r="172" spans="1:12" ht="30" customHeight="1">
      <c r="A172" s="242">
        <v>90700000</v>
      </c>
      <c r="B172" s="242">
        <v>500</v>
      </c>
      <c r="C172" s="242" t="s">
        <v>510</v>
      </c>
      <c r="D172" s="242" t="s">
        <v>518</v>
      </c>
      <c r="E172" s="242">
        <v>1</v>
      </c>
      <c r="F172" s="243" t="s">
        <v>512</v>
      </c>
      <c r="G172" s="242" t="s">
        <v>268</v>
      </c>
      <c r="H172" s="243"/>
      <c r="I172" s="243"/>
      <c r="J172" s="243"/>
      <c r="K172" s="244"/>
      <c r="L172" s="243"/>
    </row>
    <row r="173" spans="1:12" ht="30" customHeight="1">
      <c r="A173" s="242">
        <v>90900000</v>
      </c>
      <c r="B173" s="242">
        <v>4505</v>
      </c>
      <c r="C173" s="242" t="s">
        <v>510</v>
      </c>
      <c r="D173" s="242" t="s">
        <v>523</v>
      </c>
      <c r="E173" s="242">
        <v>1</v>
      </c>
      <c r="F173" s="243" t="s">
        <v>512</v>
      </c>
      <c r="G173" s="242" t="s">
        <v>268</v>
      </c>
      <c r="H173" s="243"/>
      <c r="I173" s="243"/>
      <c r="J173" s="243"/>
      <c r="K173" s="244"/>
      <c r="L173" s="243"/>
    </row>
    <row r="174" spans="1:12" ht="30" customHeight="1">
      <c r="A174" s="242">
        <v>92500000</v>
      </c>
      <c r="B174" s="242">
        <v>316</v>
      </c>
      <c r="C174" s="242" t="s">
        <v>510</v>
      </c>
      <c r="D174" s="242" t="s">
        <v>511</v>
      </c>
      <c r="E174" s="242">
        <v>1</v>
      </c>
      <c r="F174" s="243" t="s">
        <v>512</v>
      </c>
      <c r="G174" s="242" t="s">
        <v>268</v>
      </c>
      <c r="H174" s="243"/>
      <c r="I174" s="243"/>
      <c r="J174" s="243"/>
      <c r="K174" s="244"/>
      <c r="L174" s="243"/>
    </row>
    <row r="175" spans="1:12" ht="30" customHeight="1">
      <c r="A175" s="242">
        <v>98300000</v>
      </c>
      <c r="B175" s="242">
        <v>390</v>
      </c>
      <c r="C175" s="242" t="s">
        <v>510</v>
      </c>
      <c r="D175" s="242" t="s">
        <v>518</v>
      </c>
      <c r="E175" s="242">
        <v>1</v>
      </c>
      <c r="F175" s="243" t="s">
        <v>512</v>
      </c>
      <c r="G175" s="242" t="s">
        <v>268</v>
      </c>
      <c r="H175" s="243"/>
      <c r="I175" s="243"/>
      <c r="J175" s="243"/>
      <c r="K175" s="244"/>
      <c r="L175" s="243"/>
    </row>
    <row r="176" spans="1:12" ht="30" customHeight="1">
      <c r="A176" s="242">
        <v>98300000</v>
      </c>
      <c r="B176" s="242">
        <v>300</v>
      </c>
      <c r="C176" s="242" t="s">
        <v>510</v>
      </c>
      <c r="D176" s="242" t="s">
        <v>518</v>
      </c>
      <c r="E176" s="242">
        <v>1</v>
      </c>
      <c r="F176" s="243" t="s">
        <v>512</v>
      </c>
      <c r="G176" s="242" t="s">
        <v>268</v>
      </c>
      <c r="H176" s="243"/>
      <c r="I176" s="243"/>
      <c r="J176" s="243"/>
      <c r="K176" s="244"/>
      <c r="L176" s="243"/>
    </row>
    <row r="177" spans="1:12" ht="30" customHeight="1">
      <c r="A177" s="246" t="s">
        <v>474</v>
      </c>
      <c r="B177" s="246">
        <f>SUM(B59:B176)</f>
        <v>1123000.0099999998</v>
      </c>
      <c r="C177" s="247"/>
      <c r="D177" s="247"/>
      <c r="E177" s="247"/>
      <c r="F177" s="247"/>
      <c r="G177" s="247"/>
      <c r="H177" s="247"/>
      <c r="I177" s="247"/>
      <c r="J177" s="247"/>
      <c r="K177" s="247"/>
      <c r="L177" s="247"/>
    </row>
    <row r="178" spans="1:12" ht="34.5" customHeight="1">
      <c r="A178" s="242" t="s">
        <v>535</v>
      </c>
      <c r="B178" s="242">
        <v>350</v>
      </c>
      <c r="C178" s="242" t="s">
        <v>515</v>
      </c>
      <c r="D178" s="242" t="s">
        <v>511</v>
      </c>
      <c r="E178" s="242">
        <v>1</v>
      </c>
      <c r="F178" s="242"/>
      <c r="G178" s="242" t="s">
        <v>555</v>
      </c>
      <c r="H178" s="243"/>
      <c r="I178" s="243"/>
      <c r="J178" s="243"/>
      <c r="K178" s="244"/>
      <c r="L178" s="248" t="s">
        <v>556</v>
      </c>
    </row>
    <row r="179" spans="1:12" ht="34.5" customHeight="1">
      <c r="A179" s="242" t="s">
        <v>535</v>
      </c>
      <c r="B179" s="242">
        <v>500</v>
      </c>
      <c r="C179" s="242" t="s">
        <v>515</v>
      </c>
      <c r="D179" s="242" t="s">
        <v>511</v>
      </c>
      <c r="E179" s="242">
        <v>1</v>
      </c>
      <c r="F179" s="242"/>
      <c r="G179" s="242" t="s">
        <v>555</v>
      </c>
      <c r="H179" s="243"/>
      <c r="I179" s="243"/>
      <c r="J179" s="243"/>
      <c r="K179" s="244"/>
      <c r="L179" s="248" t="s">
        <v>557</v>
      </c>
    </row>
    <row r="180" spans="1:12" ht="34.5" customHeight="1">
      <c r="A180" s="242" t="s">
        <v>535</v>
      </c>
      <c r="B180" s="242">
        <v>1430</v>
      </c>
      <c r="C180" s="242" t="s">
        <v>515</v>
      </c>
      <c r="D180" s="242" t="s">
        <v>523</v>
      </c>
      <c r="E180" s="242">
        <v>1</v>
      </c>
      <c r="F180" s="242"/>
      <c r="G180" s="242" t="s">
        <v>555</v>
      </c>
      <c r="H180" s="243"/>
      <c r="I180" s="243"/>
      <c r="J180" s="243"/>
      <c r="K180" s="244"/>
      <c r="L180" s="248" t="s">
        <v>558</v>
      </c>
    </row>
    <row r="181" spans="1:12" ht="34.5" customHeight="1">
      <c r="A181" s="242" t="s">
        <v>535</v>
      </c>
      <c r="B181" s="242">
        <v>950</v>
      </c>
      <c r="C181" s="242" t="s">
        <v>515</v>
      </c>
      <c r="D181" s="242" t="s">
        <v>523</v>
      </c>
      <c r="E181" s="242">
        <v>1</v>
      </c>
      <c r="F181" s="242"/>
      <c r="G181" s="242" t="s">
        <v>555</v>
      </c>
      <c r="H181" s="243"/>
      <c r="I181" s="243"/>
      <c r="J181" s="243"/>
      <c r="K181" s="244"/>
      <c r="L181" s="248" t="s">
        <v>559</v>
      </c>
    </row>
    <row r="182" spans="1:12" ht="34.5" customHeight="1">
      <c r="A182" s="242">
        <v>22400000</v>
      </c>
      <c r="B182" s="242">
        <v>5</v>
      </c>
      <c r="C182" s="242" t="s">
        <v>510</v>
      </c>
      <c r="D182" s="242" t="s">
        <v>511</v>
      </c>
      <c r="E182" s="242">
        <v>1</v>
      </c>
      <c r="F182" s="242" t="s">
        <v>512</v>
      </c>
      <c r="G182" s="242" t="s">
        <v>555</v>
      </c>
      <c r="H182" s="243"/>
      <c r="I182" s="243"/>
      <c r="J182" s="243"/>
      <c r="K182" s="244"/>
      <c r="L182" s="248" t="s">
        <v>560</v>
      </c>
    </row>
    <row r="183" spans="1:12" ht="34.5" customHeight="1">
      <c r="A183" s="242">
        <v>22800000</v>
      </c>
      <c r="B183" s="242">
        <v>840</v>
      </c>
      <c r="C183" s="242" t="s">
        <v>510</v>
      </c>
      <c r="D183" s="242" t="s">
        <v>511</v>
      </c>
      <c r="E183" s="242">
        <v>1</v>
      </c>
      <c r="F183" s="242" t="s">
        <v>512</v>
      </c>
      <c r="G183" s="242" t="s">
        <v>555</v>
      </c>
      <c r="H183" s="243"/>
      <c r="I183" s="243"/>
      <c r="J183" s="243"/>
      <c r="K183" s="244"/>
      <c r="L183" s="248" t="s">
        <v>561</v>
      </c>
    </row>
    <row r="184" spans="1:12" ht="34.5" customHeight="1">
      <c r="A184" s="242">
        <v>22800000</v>
      </c>
      <c r="B184" s="242">
        <v>5</v>
      </c>
      <c r="C184" s="242" t="s">
        <v>510</v>
      </c>
      <c r="D184" s="242" t="s">
        <v>523</v>
      </c>
      <c r="E184" s="242">
        <v>1</v>
      </c>
      <c r="F184" s="242" t="s">
        <v>512</v>
      </c>
      <c r="G184" s="242" t="s">
        <v>555</v>
      </c>
      <c r="H184" s="243"/>
      <c r="I184" s="243"/>
      <c r="J184" s="243"/>
      <c r="K184" s="244"/>
      <c r="L184" s="248" t="s">
        <v>562</v>
      </c>
    </row>
    <row r="185" spans="1:12" ht="34.5" customHeight="1">
      <c r="A185" s="242">
        <v>30100000</v>
      </c>
      <c r="B185" s="242">
        <v>451.1</v>
      </c>
      <c r="C185" s="242" t="s">
        <v>510</v>
      </c>
      <c r="D185" s="242" t="s">
        <v>523</v>
      </c>
      <c r="E185" s="242">
        <v>1</v>
      </c>
      <c r="F185" s="242" t="s">
        <v>512</v>
      </c>
      <c r="G185" s="242" t="s">
        <v>555</v>
      </c>
      <c r="H185" s="243"/>
      <c r="I185" s="243"/>
      <c r="J185" s="243"/>
      <c r="K185" s="244"/>
      <c r="L185" s="248" t="s">
        <v>562</v>
      </c>
    </row>
    <row r="186" spans="1:12" ht="34.5" customHeight="1">
      <c r="A186" s="242">
        <v>50300000</v>
      </c>
      <c r="B186" s="242">
        <v>2509.86</v>
      </c>
      <c r="C186" s="242" t="s">
        <v>510</v>
      </c>
      <c r="D186" s="242" t="s">
        <v>511</v>
      </c>
      <c r="E186" s="242">
        <v>1</v>
      </c>
      <c r="F186" s="242" t="s">
        <v>512</v>
      </c>
      <c r="G186" s="242" t="s">
        <v>555</v>
      </c>
      <c r="H186" s="243"/>
      <c r="I186" s="243"/>
      <c r="J186" s="243"/>
      <c r="K186" s="244"/>
      <c r="L186" s="248" t="s">
        <v>560</v>
      </c>
    </row>
    <row r="187" spans="1:12" ht="34.5" customHeight="1">
      <c r="A187" s="242">
        <v>55100000</v>
      </c>
      <c r="B187" s="242">
        <v>1492.76</v>
      </c>
      <c r="C187" s="242" t="s">
        <v>510</v>
      </c>
      <c r="D187" s="242" t="s">
        <v>511</v>
      </c>
      <c r="E187" s="242">
        <v>1</v>
      </c>
      <c r="F187" s="242" t="s">
        <v>512</v>
      </c>
      <c r="G187" s="242" t="s">
        <v>555</v>
      </c>
      <c r="H187" s="243"/>
      <c r="I187" s="243"/>
      <c r="J187" s="243"/>
      <c r="K187" s="244"/>
      <c r="L187" s="248" t="s">
        <v>560</v>
      </c>
    </row>
    <row r="188" spans="1:12" ht="34.5" customHeight="1">
      <c r="A188" s="242">
        <v>55300000</v>
      </c>
      <c r="B188" s="242">
        <v>4500</v>
      </c>
      <c r="C188" s="242" t="s">
        <v>510</v>
      </c>
      <c r="D188" s="242" t="s">
        <v>518</v>
      </c>
      <c r="E188" s="242">
        <v>1</v>
      </c>
      <c r="F188" s="242" t="s">
        <v>512</v>
      </c>
      <c r="G188" s="242" t="s">
        <v>555</v>
      </c>
      <c r="H188" s="243"/>
      <c r="I188" s="243"/>
      <c r="J188" s="243"/>
      <c r="K188" s="244"/>
      <c r="L188" s="248" t="s">
        <v>560</v>
      </c>
    </row>
    <row r="189" spans="1:12" ht="34.5" customHeight="1">
      <c r="A189" s="242">
        <v>55300000</v>
      </c>
      <c r="B189" s="242">
        <v>12052</v>
      </c>
      <c r="C189" s="242" t="s">
        <v>510</v>
      </c>
      <c r="D189" s="242" t="s">
        <v>523</v>
      </c>
      <c r="E189" s="242">
        <v>1</v>
      </c>
      <c r="F189" s="242" t="s">
        <v>512</v>
      </c>
      <c r="G189" s="242" t="s">
        <v>555</v>
      </c>
      <c r="H189" s="243"/>
      <c r="I189" s="243"/>
      <c r="J189" s="243"/>
      <c r="K189" s="244"/>
      <c r="L189" s="248" t="s">
        <v>563</v>
      </c>
    </row>
    <row r="190" spans="1:12" ht="34.5" customHeight="1">
      <c r="A190" s="242">
        <v>60100000</v>
      </c>
      <c r="B190" s="242">
        <v>5</v>
      </c>
      <c r="C190" s="242" t="s">
        <v>510</v>
      </c>
      <c r="D190" s="242" t="s">
        <v>511</v>
      </c>
      <c r="E190" s="242">
        <v>1</v>
      </c>
      <c r="F190" s="242" t="s">
        <v>512</v>
      </c>
      <c r="G190" s="242" t="s">
        <v>555</v>
      </c>
      <c r="H190" s="243"/>
      <c r="I190" s="243"/>
      <c r="J190" s="243"/>
      <c r="K190" s="244"/>
      <c r="L190" s="248" t="s">
        <v>564</v>
      </c>
    </row>
    <row r="191" spans="1:12" ht="34.5" customHeight="1">
      <c r="A191" s="242">
        <v>63500000</v>
      </c>
      <c r="B191" s="242">
        <v>3400</v>
      </c>
      <c r="C191" s="242" t="s">
        <v>510</v>
      </c>
      <c r="D191" s="242" t="s">
        <v>511</v>
      </c>
      <c r="E191" s="242">
        <v>1</v>
      </c>
      <c r="F191" s="242" t="s">
        <v>512</v>
      </c>
      <c r="G191" s="242" t="s">
        <v>555</v>
      </c>
      <c r="H191" s="243"/>
      <c r="I191" s="243"/>
      <c r="J191" s="243"/>
      <c r="K191" s="244"/>
      <c r="L191" s="248" t="s">
        <v>560</v>
      </c>
    </row>
    <row r="192" spans="1:12" ht="34.5" customHeight="1">
      <c r="A192" s="242">
        <v>79500000</v>
      </c>
      <c r="B192" s="242">
        <v>3186</v>
      </c>
      <c r="C192" s="242" t="s">
        <v>510</v>
      </c>
      <c r="D192" s="242" t="s">
        <v>511</v>
      </c>
      <c r="E192" s="242">
        <v>1</v>
      </c>
      <c r="F192" s="242" t="s">
        <v>512</v>
      </c>
      <c r="G192" s="242" t="s">
        <v>555</v>
      </c>
      <c r="H192" s="243"/>
      <c r="I192" s="243"/>
      <c r="J192" s="243"/>
      <c r="K192" s="244"/>
      <c r="L192" s="248" t="s">
        <v>565</v>
      </c>
    </row>
    <row r="193" spans="1:12" ht="34.5" customHeight="1">
      <c r="A193" s="242">
        <v>79800000</v>
      </c>
      <c r="B193" s="242">
        <v>5</v>
      </c>
      <c r="C193" s="242" t="s">
        <v>510</v>
      </c>
      <c r="D193" s="242" t="s">
        <v>511</v>
      </c>
      <c r="E193" s="242">
        <v>1</v>
      </c>
      <c r="F193" s="242" t="s">
        <v>512</v>
      </c>
      <c r="G193" s="242" t="s">
        <v>555</v>
      </c>
      <c r="H193" s="243"/>
      <c r="I193" s="243"/>
      <c r="J193" s="243"/>
      <c r="K193" s="244"/>
      <c r="L193" s="248" t="s">
        <v>560</v>
      </c>
    </row>
    <row r="194" spans="1:12" ht="34.5" customHeight="1">
      <c r="A194" s="242">
        <v>79800000</v>
      </c>
      <c r="B194" s="242">
        <v>5</v>
      </c>
      <c r="C194" s="242" t="s">
        <v>510</v>
      </c>
      <c r="D194" s="242" t="s">
        <v>511</v>
      </c>
      <c r="E194" s="242">
        <v>1</v>
      </c>
      <c r="F194" s="242" t="s">
        <v>512</v>
      </c>
      <c r="G194" s="242" t="s">
        <v>555</v>
      </c>
      <c r="H194" s="243"/>
      <c r="I194" s="243"/>
      <c r="J194" s="243"/>
      <c r="K194" s="244"/>
      <c r="L194" s="248" t="s">
        <v>566</v>
      </c>
    </row>
    <row r="195" spans="1:12" ht="30" customHeight="1">
      <c r="A195" s="252" t="s">
        <v>567</v>
      </c>
      <c r="B195" s="243">
        <f>SUM(B178:B194)</f>
        <v>31686.72</v>
      </c>
      <c r="C195" s="253"/>
      <c r="D195" s="253"/>
      <c r="E195" s="253"/>
      <c r="F195" s="253"/>
      <c r="G195" s="253"/>
      <c r="H195" s="253"/>
      <c r="I195" s="253"/>
      <c r="J195" s="253"/>
      <c r="K195" s="253"/>
      <c r="L195" s="253"/>
    </row>
    <row r="196" spans="1:12" ht="30" customHeight="1">
      <c r="A196" s="246" t="s">
        <v>568</v>
      </c>
      <c r="B196" s="246">
        <f>B58+B177+B195</f>
        <v>1308875.3599999996</v>
      </c>
      <c r="C196" s="247"/>
      <c r="D196" s="247"/>
      <c r="E196" s="247"/>
      <c r="F196" s="247"/>
      <c r="G196" s="247"/>
      <c r="H196" s="247"/>
      <c r="I196" s="247"/>
      <c r="J196" s="247"/>
      <c r="K196" s="247"/>
      <c r="L196" s="247"/>
    </row>
    <row r="197" spans="1:12" ht="30" customHeight="1">
      <c r="A197" s="254" t="s">
        <v>569</v>
      </c>
      <c r="B197" s="254"/>
      <c r="C197" s="254"/>
      <c r="D197" s="254"/>
      <c r="E197" s="254"/>
      <c r="F197" s="254"/>
      <c r="G197" s="254"/>
      <c r="H197" s="254"/>
      <c r="I197" s="254"/>
      <c r="J197" s="254"/>
      <c r="K197" s="254"/>
      <c r="L197" s="254"/>
    </row>
  </sheetData>
  <sheetProtection/>
  <mergeCells count="8">
    <mergeCell ref="C196:L196"/>
    <mergeCell ref="A197:L197"/>
    <mergeCell ref="A1:L1"/>
    <mergeCell ref="A2:L2"/>
    <mergeCell ref="A3:L3"/>
    <mergeCell ref="C58:L58"/>
    <mergeCell ref="C177:L177"/>
    <mergeCell ref="C195:L19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B543"/>
  <sheetViews>
    <sheetView view="pageBreakPreview" zoomScale="110" zoomScaleSheetLayoutView="110" zoomScalePageLayoutView="0" workbookViewId="0" topLeftCell="A1">
      <selection activeCell="A4" sqref="A4:B4"/>
    </sheetView>
  </sheetViews>
  <sheetFormatPr defaultColWidth="9.140625" defaultRowHeight="15"/>
  <cols>
    <col min="1" max="1" width="87.57421875" style="17" customWidth="1"/>
    <col min="2" max="2" width="24.00390625" style="18" customWidth="1"/>
    <col min="3" max="16384" width="9.140625" style="17" customWidth="1"/>
  </cols>
  <sheetData>
    <row r="1" spans="1:2" ht="56.25" customHeight="1">
      <c r="A1" s="102" t="s">
        <v>81</v>
      </c>
      <c r="B1" s="102"/>
    </row>
    <row r="2" spans="1:2" s="10" customFormat="1" ht="78.75" customHeight="1">
      <c r="A2" s="135" t="s">
        <v>136</v>
      </c>
      <c r="B2" s="135"/>
    </row>
    <row r="3" spans="1:2" ht="13.5" thickBot="1">
      <c r="A3" s="139" t="s">
        <v>13</v>
      </c>
      <c r="B3" s="139"/>
    </row>
    <row r="4" spans="1:2" s="21" customFormat="1" ht="52.5" customHeight="1" thickBot="1">
      <c r="A4" s="158" t="s">
        <v>118</v>
      </c>
      <c r="B4" s="159">
        <f>991.73+8024.19</f>
        <v>9015.92</v>
      </c>
    </row>
    <row r="5" spans="1:2" s="21" customFormat="1" ht="52.5" customHeight="1">
      <c r="A5" s="134" t="s">
        <v>94</v>
      </c>
      <c r="B5" s="134"/>
    </row>
    <row r="6" spans="1:2" ht="38.25" customHeight="1">
      <c r="A6" s="140" t="s">
        <v>93</v>
      </c>
      <c r="B6" s="141"/>
    </row>
    <row r="7" ht="12.75">
      <c r="B7" s="17"/>
    </row>
    <row r="8" ht="12.75">
      <c r="B8" s="17"/>
    </row>
    <row r="9" ht="12.75">
      <c r="B9" s="17"/>
    </row>
    <row r="10" ht="12.75">
      <c r="B10" s="17"/>
    </row>
    <row r="11" ht="12.75">
      <c r="B11" s="17"/>
    </row>
    <row r="12" ht="12.75">
      <c r="B12" s="17"/>
    </row>
    <row r="13" ht="12.75">
      <c r="B13" s="17"/>
    </row>
    <row r="14" ht="12.75">
      <c r="B14" s="17"/>
    </row>
    <row r="15" ht="12.75">
      <c r="B15" s="17"/>
    </row>
    <row r="16" ht="12.75">
      <c r="B16" s="17"/>
    </row>
    <row r="17" ht="12.75">
      <c r="B17" s="17"/>
    </row>
    <row r="18" ht="12.75">
      <c r="B18" s="17"/>
    </row>
    <row r="19" ht="12.75">
      <c r="B19" s="17"/>
    </row>
    <row r="20" ht="12.75">
      <c r="B20" s="17"/>
    </row>
    <row r="21" ht="12.75">
      <c r="B21" s="17"/>
    </row>
    <row r="22" ht="12.75">
      <c r="B22" s="17"/>
    </row>
    <row r="23" ht="12.75">
      <c r="B23" s="17"/>
    </row>
    <row r="24" ht="12.75">
      <c r="B24" s="17"/>
    </row>
    <row r="25" ht="12.75">
      <c r="B25" s="17"/>
    </row>
    <row r="26" ht="12.75">
      <c r="B26" s="17"/>
    </row>
    <row r="27" ht="12.75">
      <c r="B27" s="17"/>
    </row>
    <row r="28" ht="12.75">
      <c r="B28" s="17"/>
    </row>
    <row r="29" ht="12.75">
      <c r="B29" s="17"/>
    </row>
    <row r="30" ht="12.75">
      <c r="B30" s="17"/>
    </row>
    <row r="31" ht="12.75">
      <c r="B31" s="17"/>
    </row>
    <row r="32" ht="12.75">
      <c r="B32" s="17"/>
    </row>
    <row r="33" ht="12.75">
      <c r="B33" s="17"/>
    </row>
    <row r="34" ht="12.75">
      <c r="B34" s="17"/>
    </row>
    <row r="35" ht="12.75">
      <c r="B35" s="17"/>
    </row>
    <row r="36" ht="12.75">
      <c r="B36" s="17"/>
    </row>
    <row r="37" ht="12.75">
      <c r="B37" s="17"/>
    </row>
    <row r="38" ht="12.75">
      <c r="B38" s="17"/>
    </row>
    <row r="39" ht="12.75">
      <c r="B39" s="17"/>
    </row>
    <row r="40" ht="12.75">
      <c r="B40" s="17"/>
    </row>
    <row r="41" ht="12.75">
      <c r="B41" s="17"/>
    </row>
    <row r="42" ht="12.75">
      <c r="B42" s="17"/>
    </row>
    <row r="43" ht="12.75">
      <c r="B43" s="17"/>
    </row>
    <row r="44" ht="12.75">
      <c r="B44" s="17"/>
    </row>
    <row r="45" ht="12.75">
      <c r="B45" s="17"/>
    </row>
    <row r="46" ht="12.75">
      <c r="B46" s="17"/>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row r="243" ht="12.75">
      <c r="B243" s="17"/>
    </row>
    <row r="244" ht="12.75">
      <c r="B244" s="17"/>
    </row>
    <row r="245" ht="12.75">
      <c r="B245" s="17"/>
    </row>
    <row r="246" ht="12.75">
      <c r="B246" s="17"/>
    </row>
    <row r="247" ht="12.75">
      <c r="B247" s="17"/>
    </row>
    <row r="248" ht="12.75">
      <c r="B248" s="17"/>
    </row>
    <row r="249" ht="12.75">
      <c r="B249" s="17"/>
    </row>
    <row r="250" ht="12.75">
      <c r="B250" s="17"/>
    </row>
    <row r="251" ht="12.75">
      <c r="B251" s="17"/>
    </row>
    <row r="252" ht="12.75">
      <c r="B252" s="17"/>
    </row>
    <row r="253" ht="12.75">
      <c r="B253" s="17"/>
    </row>
    <row r="254" ht="12.75">
      <c r="B254" s="17"/>
    </row>
    <row r="255" ht="12.75">
      <c r="B255" s="17"/>
    </row>
    <row r="256" ht="12.75">
      <c r="B256" s="17"/>
    </row>
    <row r="257" ht="12.75">
      <c r="B257" s="17"/>
    </row>
    <row r="258" ht="12.75">
      <c r="B258" s="17"/>
    </row>
    <row r="259" ht="12.75">
      <c r="B259" s="17"/>
    </row>
    <row r="260" ht="12.75">
      <c r="B260" s="17"/>
    </row>
    <row r="261" ht="12.75">
      <c r="B261" s="17"/>
    </row>
    <row r="262" ht="12.75">
      <c r="B262" s="17"/>
    </row>
    <row r="263" ht="12.75">
      <c r="B263" s="17"/>
    </row>
    <row r="264" ht="12.75">
      <c r="B264" s="17"/>
    </row>
    <row r="265" ht="12.75">
      <c r="B265" s="17"/>
    </row>
    <row r="266" ht="12.75">
      <c r="B266" s="17"/>
    </row>
    <row r="267" ht="12.75">
      <c r="B267" s="17"/>
    </row>
    <row r="268" ht="12.75">
      <c r="B268" s="17"/>
    </row>
    <row r="269" ht="12.75">
      <c r="B269" s="17"/>
    </row>
    <row r="270" ht="12.75">
      <c r="B270" s="17"/>
    </row>
    <row r="271" ht="12.75">
      <c r="B271" s="17"/>
    </row>
    <row r="272" ht="12.75">
      <c r="B272" s="17"/>
    </row>
    <row r="273" ht="12.75">
      <c r="B273" s="17"/>
    </row>
    <row r="274" ht="12.75">
      <c r="B274" s="17"/>
    </row>
    <row r="275" ht="12.75">
      <c r="B275" s="17"/>
    </row>
    <row r="276" ht="12.75">
      <c r="B276" s="17"/>
    </row>
    <row r="277" ht="12.75">
      <c r="B277" s="17"/>
    </row>
    <row r="278" ht="12.75">
      <c r="B278" s="17"/>
    </row>
    <row r="279" ht="12.75">
      <c r="B279" s="17"/>
    </row>
    <row r="280" ht="12.75">
      <c r="B280" s="17"/>
    </row>
    <row r="281" ht="12.75">
      <c r="B281" s="17"/>
    </row>
    <row r="282" ht="12.75">
      <c r="B282" s="17"/>
    </row>
    <row r="283" ht="12.75">
      <c r="B283" s="17"/>
    </row>
    <row r="284" ht="12.75">
      <c r="B284" s="17"/>
    </row>
    <row r="285" ht="12.75">
      <c r="B285" s="17"/>
    </row>
    <row r="286" ht="12.75">
      <c r="B286" s="17"/>
    </row>
    <row r="287" ht="12.75">
      <c r="B287" s="17"/>
    </row>
    <row r="288" ht="12.75">
      <c r="B288" s="17"/>
    </row>
    <row r="289" ht="12.75">
      <c r="B289" s="17"/>
    </row>
    <row r="290" ht="12.75">
      <c r="B290" s="17"/>
    </row>
    <row r="291" ht="12.75">
      <c r="B291" s="17"/>
    </row>
    <row r="292" ht="12.75">
      <c r="B292" s="17"/>
    </row>
    <row r="293" ht="12.75">
      <c r="B293" s="17"/>
    </row>
    <row r="294" ht="12.75">
      <c r="B294" s="17"/>
    </row>
    <row r="295" ht="12.75">
      <c r="B295" s="17"/>
    </row>
    <row r="296" ht="12.75">
      <c r="B296" s="17"/>
    </row>
    <row r="297" ht="12.75">
      <c r="B297" s="17"/>
    </row>
    <row r="298" ht="12.75">
      <c r="B298" s="17"/>
    </row>
    <row r="299" ht="12.75">
      <c r="B299" s="17"/>
    </row>
    <row r="300" ht="12.75">
      <c r="B300" s="17"/>
    </row>
    <row r="301" ht="12.75">
      <c r="B301" s="17"/>
    </row>
    <row r="302" ht="12.75">
      <c r="B302" s="17"/>
    </row>
    <row r="303" ht="12.75">
      <c r="B303" s="17"/>
    </row>
    <row r="304" ht="12.75">
      <c r="B304" s="17"/>
    </row>
    <row r="305" ht="12.75">
      <c r="B305" s="17"/>
    </row>
    <row r="306" ht="12.75">
      <c r="B306" s="17"/>
    </row>
    <row r="307" ht="12.75">
      <c r="B307" s="17"/>
    </row>
    <row r="308" ht="12.75">
      <c r="B308" s="17"/>
    </row>
    <row r="309" ht="12.75">
      <c r="B309" s="17"/>
    </row>
    <row r="310" ht="12.75">
      <c r="B310" s="17"/>
    </row>
    <row r="311" ht="12.75">
      <c r="B311" s="17"/>
    </row>
    <row r="312" ht="12.75">
      <c r="B312" s="17"/>
    </row>
    <row r="313" ht="12.75">
      <c r="B313" s="17"/>
    </row>
    <row r="314" ht="12.75">
      <c r="B314" s="17"/>
    </row>
    <row r="315" ht="12.75">
      <c r="B315" s="17"/>
    </row>
    <row r="316" ht="12.75">
      <c r="B316" s="17"/>
    </row>
    <row r="317" ht="12.75">
      <c r="B317" s="17"/>
    </row>
    <row r="318" ht="12.75">
      <c r="B318" s="17"/>
    </row>
    <row r="319" ht="12.75">
      <c r="B319" s="17"/>
    </row>
    <row r="320" ht="12.75">
      <c r="B320" s="17"/>
    </row>
    <row r="321" ht="12.75">
      <c r="B321" s="17"/>
    </row>
    <row r="322" ht="12.75">
      <c r="B322" s="17"/>
    </row>
    <row r="323" ht="12.75">
      <c r="B323" s="17"/>
    </row>
    <row r="324" ht="12.75">
      <c r="B324" s="17"/>
    </row>
    <row r="325" ht="12.75">
      <c r="B325" s="17"/>
    </row>
    <row r="326" ht="12.75">
      <c r="B326" s="17"/>
    </row>
    <row r="327" ht="12.75">
      <c r="B327" s="17"/>
    </row>
    <row r="328" ht="12.75">
      <c r="B328" s="17"/>
    </row>
    <row r="329" ht="12.75">
      <c r="B329" s="17"/>
    </row>
    <row r="330" ht="12.75">
      <c r="B330" s="17"/>
    </row>
    <row r="331" ht="12.75">
      <c r="B331" s="17"/>
    </row>
    <row r="332" ht="12.75">
      <c r="B332" s="17"/>
    </row>
    <row r="333" ht="12.75">
      <c r="B333" s="17"/>
    </row>
    <row r="334" ht="12.75">
      <c r="B334" s="17"/>
    </row>
    <row r="335" ht="12.75">
      <c r="B335" s="17"/>
    </row>
    <row r="336" ht="12.75">
      <c r="B336" s="17"/>
    </row>
    <row r="337" ht="12.75">
      <c r="B337" s="17"/>
    </row>
    <row r="338" ht="12.75">
      <c r="B338" s="17"/>
    </row>
    <row r="339" ht="12.75">
      <c r="B339" s="17"/>
    </row>
    <row r="340" ht="12.75">
      <c r="B340" s="17"/>
    </row>
    <row r="341" ht="12.75">
      <c r="B341" s="17"/>
    </row>
    <row r="342" ht="12.75">
      <c r="B342" s="17"/>
    </row>
    <row r="343" ht="12.75">
      <c r="B343" s="17"/>
    </row>
    <row r="344" ht="12.75">
      <c r="B344" s="17"/>
    </row>
    <row r="345" ht="12.75">
      <c r="B345" s="17"/>
    </row>
    <row r="346" ht="12.75">
      <c r="B346" s="17"/>
    </row>
    <row r="347" ht="12.75">
      <c r="B347" s="17"/>
    </row>
    <row r="348" ht="12.75">
      <c r="B348" s="17"/>
    </row>
    <row r="349" ht="12.75">
      <c r="B349" s="17"/>
    </row>
    <row r="350" ht="12.75">
      <c r="B350" s="17"/>
    </row>
    <row r="351" ht="12.75">
      <c r="B351" s="17"/>
    </row>
    <row r="352" ht="12.75">
      <c r="B352" s="17"/>
    </row>
    <row r="353" ht="12.75">
      <c r="B353" s="17"/>
    </row>
    <row r="354" ht="12.75">
      <c r="B354" s="17"/>
    </row>
    <row r="355" ht="12.75">
      <c r="B355" s="17"/>
    </row>
    <row r="356" ht="12.75">
      <c r="B356" s="17"/>
    </row>
    <row r="357" ht="12.75">
      <c r="B357" s="17"/>
    </row>
    <row r="358" ht="12.75">
      <c r="B358" s="17"/>
    </row>
    <row r="359" ht="12.75">
      <c r="B359" s="17"/>
    </row>
    <row r="360" ht="12.75">
      <c r="B360" s="17"/>
    </row>
    <row r="361" ht="12.75">
      <c r="B361" s="17"/>
    </row>
    <row r="362" ht="12.75">
      <c r="B362" s="17"/>
    </row>
    <row r="363" ht="12.75">
      <c r="B363" s="17"/>
    </row>
    <row r="364" ht="12.75">
      <c r="B364" s="17"/>
    </row>
    <row r="365" ht="12.75">
      <c r="B365" s="17"/>
    </row>
    <row r="366" ht="12.75">
      <c r="B366" s="17"/>
    </row>
    <row r="367" ht="12.75">
      <c r="B367" s="17"/>
    </row>
    <row r="368" ht="12.75">
      <c r="B368" s="17"/>
    </row>
    <row r="369" ht="12.75">
      <c r="B369" s="17"/>
    </row>
    <row r="370" ht="12.75">
      <c r="B370" s="17"/>
    </row>
    <row r="371" ht="12.75">
      <c r="B371" s="17"/>
    </row>
    <row r="372" ht="12.75">
      <c r="B372" s="17"/>
    </row>
    <row r="373" ht="12.75">
      <c r="B373" s="17"/>
    </row>
    <row r="374" ht="12.75">
      <c r="B374" s="17"/>
    </row>
    <row r="375" ht="12.75">
      <c r="B375" s="17"/>
    </row>
    <row r="376" ht="12.75">
      <c r="B376" s="17"/>
    </row>
    <row r="377" ht="12.75">
      <c r="B377" s="17"/>
    </row>
    <row r="378" ht="12.75">
      <c r="B378" s="17"/>
    </row>
    <row r="379" ht="12.75">
      <c r="B379" s="17"/>
    </row>
    <row r="380" ht="12.75">
      <c r="B380" s="17"/>
    </row>
    <row r="381" ht="12.75">
      <c r="B381" s="17"/>
    </row>
    <row r="382" ht="12.75">
      <c r="B382" s="17"/>
    </row>
    <row r="383" ht="12.75">
      <c r="B383" s="17"/>
    </row>
    <row r="384" ht="12.75">
      <c r="B384" s="17"/>
    </row>
    <row r="385" ht="12.75">
      <c r="B385" s="17"/>
    </row>
    <row r="386" ht="12.75">
      <c r="B386" s="17"/>
    </row>
    <row r="387" ht="12.75">
      <c r="B387" s="17"/>
    </row>
    <row r="388" ht="12.75">
      <c r="B388" s="17"/>
    </row>
    <row r="389" ht="12.75">
      <c r="B389" s="17"/>
    </row>
    <row r="390" ht="12.75">
      <c r="B390" s="17"/>
    </row>
    <row r="391" ht="12.75">
      <c r="B391" s="17"/>
    </row>
    <row r="392" ht="12.75">
      <c r="B392" s="17"/>
    </row>
    <row r="393" ht="12.75">
      <c r="B393" s="17"/>
    </row>
    <row r="394" ht="12.75">
      <c r="B394" s="17"/>
    </row>
    <row r="395" ht="12.75">
      <c r="B395" s="17"/>
    </row>
    <row r="396" ht="12.75">
      <c r="B396" s="17"/>
    </row>
    <row r="397" ht="12.75">
      <c r="B397" s="17"/>
    </row>
    <row r="398" ht="12.75">
      <c r="B398" s="17"/>
    </row>
    <row r="399" ht="12.75">
      <c r="B399" s="17"/>
    </row>
    <row r="400" ht="12.75">
      <c r="B400" s="17"/>
    </row>
    <row r="401" ht="12.75">
      <c r="B401" s="17"/>
    </row>
    <row r="402" ht="12.75">
      <c r="B402" s="17"/>
    </row>
    <row r="403" ht="12.75">
      <c r="B403" s="17"/>
    </row>
    <row r="404" ht="12.75">
      <c r="B404" s="17"/>
    </row>
    <row r="405" ht="12.75">
      <c r="B405" s="17"/>
    </row>
    <row r="406" ht="12.75">
      <c r="B406" s="17"/>
    </row>
    <row r="407" ht="12.75">
      <c r="B407" s="17"/>
    </row>
    <row r="408" ht="12.75">
      <c r="B408" s="17"/>
    </row>
    <row r="409" ht="12.75">
      <c r="B409" s="17"/>
    </row>
    <row r="410" ht="12.75">
      <c r="B410" s="17"/>
    </row>
    <row r="411" ht="12.75">
      <c r="B411" s="17"/>
    </row>
    <row r="412" ht="12.75">
      <c r="B412" s="17"/>
    </row>
    <row r="413" ht="12.75">
      <c r="B413" s="17"/>
    </row>
    <row r="414" ht="12.75">
      <c r="B414" s="17"/>
    </row>
    <row r="415" ht="12.75">
      <c r="B415" s="17"/>
    </row>
    <row r="416" ht="12.75">
      <c r="B416" s="17"/>
    </row>
    <row r="417" ht="12.75">
      <c r="B417" s="17"/>
    </row>
    <row r="418" ht="12.75">
      <c r="B418" s="17"/>
    </row>
    <row r="419" ht="12.75">
      <c r="B419" s="17"/>
    </row>
    <row r="420" ht="12.75">
      <c r="B420" s="17"/>
    </row>
    <row r="421" ht="12.75">
      <c r="B421" s="17"/>
    </row>
    <row r="422" ht="12.75">
      <c r="B422" s="17"/>
    </row>
    <row r="423" ht="12.75">
      <c r="B423" s="17"/>
    </row>
    <row r="424" ht="12.75">
      <c r="B424" s="17"/>
    </row>
    <row r="425" ht="12.75">
      <c r="B425" s="17"/>
    </row>
    <row r="426" ht="12.75">
      <c r="B426" s="17"/>
    </row>
    <row r="427" ht="12.75">
      <c r="B427" s="17"/>
    </row>
    <row r="428" ht="12.75">
      <c r="B428" s="17"/>
    </row>
    <row r="429" ht="12.75">
      <c r="B429" s="17"/>
    </row>
    <row r="430" ht="12.75">
      <c r="B430" s="17"/>
    </row>
    <row r="431" ht="12.75">
      <c r="B431" s="17"/>
    </row>
    <row r="432" ht="12.75">
      <c r="B432" s="17"/>
    </row>
    <row r="433" ht="12.75">
      <c r="B433" s="17"/>
    </row>
    <row r="434" ht="12.75">
      <c r="B434" s="17"/>
    </row>
    <row r="435" ht="12.75">
      <c r="B435" s="17"/>
    </row>
    <row r="436" ht="12.75">
      <c r="B436" s="17"/>
    </row>
    <row r="437" ht="12.75">
      <c r="B437" s="17"/>
    </row>
    <row r="438" ht="12.75">
      <c r="B438" s="17"/>
    </row>
    <row r="439" ht="12.75">
      <c r="B439" s="17"/>
    </row>
    <row r="440" ht="12.75">
      <c r="B440" s="17"/>
    </row>
    <row r="441" ht="12.75">
      <c r="B441" s="17"/>
    </row>
    <row r="442" ht="12.75">
      <c r="B442" s="17"/>
    </row>
    <row r="443" ht="12.75">
      <c r="B443" s="17"/>
    </row>
    <row r="444" ht="12.75">
      <c r="B444" s="17"/>
    </row>
    <row r="445" ht="12.75">
      <c r="B445" s="17"/>
    </row>
    <row r="446" ht="12.75">
      <c r="B446" s="17"/>
    </row>
    <row r="447" ht="12.75">
      <c r="B447" s="17"/>
    </row>
    <row r="448" ht="12.75">
      <c r="B448" s="17"/>
    </row>
    <row r="449" ht="12.75">
      <c r="B449" s="17"/>
    </row>
    <row r="450" ht="12.75">
      <c r="B450" s="17"/>
    </row>
    <row r="451" ht="12.75">
      <c r="B451" s="17"/>
    </row>
    <row r="452" ht="12.75">
      <c r="B452" s="17"/>
    </row>
    <row r="453" ht="12.75">
      <c r="B453" s="17"/>
    </row>
    <row r="454" ht="12.75">
      <c r="B454" s="17"/>
    </row>
    <row r="455" ht="12.75">
      <c r="B455" s="17"/>
    </row>
    <row r="456" ht="12.75">
      <c r="B456" s="17"/>
    </row>
    <row r="457" ht="12.75">
      <c r="B457" s="17"/>
    </row>
    <row r="458" ht="12.75">
      <c r="B458" s="17"/>
    </row>
    <row r="459" ht="12.75">
      <c r="B459" s="17"/>
    </row>
    <row r="460" ht="12.75">
      <c r="B460" s="17"/>
    </row>
    <row r="461" ht="12.75">
      <c r="B461" s="17"/>
    </row>
    <row r="462" ht="12.75">
      <c r="B462" s="17"/>
    </row>
    <row r="463" ht="12.75">
      <c r="B463" s="17"/>
    </row>
    <row r="464" ht="12.75">
      <c r="B464" s="17"/>
    </row>
    <row r="465" ht="12.75">
      <c r="B465" s="17"/>
    </row>
    <row r="466" ht="12.75">
      <c r="B466" s="17"/>
    </row>
    <row r="467" ht="12.75">
      <c r="B467" s="17"/>
    </row>
    <row r="468" ht="12.75">
      <c r="B468" s="17"/>
    </row>
    <row r="469" ht="12.75">
      <c r="B469" s="17"/>
    </row>
    <row r="470" ht="12.75">
      <c r="B470" s="17"/>
    </row>
    <row r="471" ht="12.75">
      <c r="B471" s="17"/>
    </row>
    <row r="472" ht="12.75">
      <c r="B472" s="17"/>
    </row>
    <row r="473" ht="12.75">
      <c r="B473" s="17"/>
    </row>
    <row r="474" ht="12.75">
      <c r="B474" s="17"/>
    </row>
    <row r="475" ht="12.75">
      <c r="B475" s="17"/>
    </row>
    <row r="476" ht="12.75">
      <c r="B476" s="17"/>
    </row>
    <row r="477" ht="12.75">
      <c r="B477" s="17"/>
    </row>
    <row r="478" ht="12.75">
      <c r="B478" s="17"/>
    </row>
    <row r="479" ht="12.75">
      <c r="B479" s="17"/>
    </row>
    <row r="480" ht="12.75">
      <c r="B480" s="17"/>
    </row>
    <row r="481" ht="12.75">
      <c r="B481" s="17"/>
    </row>
    <row r="482" ht="12.75">
      <c r="B482" s="17"/>
    </row>
    <row r="483" ht="12.75">
      <c r="B483" s="17"/>
    </row>
    <row r="484" ht="12.75">
      <c r="B484" s="17"/>
    </row>
    <row r="485" ht="12.75">
      <c r="B485" s="17"/>
    </row>
    <row r="486" ht="12.75">
      <c r="B486" s="17"/>
    </row>
    <row r="487" ht="12.75">
      <c r="B487" s="17"/>
    </row>
    <row r="488" ht="12.75">
      <c r="B488" s="17"/>
    </row>
    <row r="489" ht="12.75">
      <c r="B489" s="17"/>
    </row>
    <row r="490" ht="12.75">
      <c r="B490" s="17"/>
    </row>
    <row r="491" ht="12.75">
      <c r="B491" s="17"/>
    </row>
    <row r="492" ht="12.75">
      <c r="B492" s="17"/>
    </row>
    <row r="493" ht="12.75">
      <c r="B493" s="17"/>
    </row>
    <row r="494" ht="12.75">
      <c r="B494" s="17"/>
    </row>
    <row r="495" ht="12.75">
      <c r="B495" s="17"/>
    </row>
    <row r="496" ht="12.75">
      <c r="B496" s="17"/>
    </row>
    <row r="497" ht="12.75">
      <c r="B497" s="17"/>
    </row>
    <row r="498" ht="12.75">
      <c r="B498" s="17"/>
    </row>
    <row r="499" ht="12.75">
      <c r="B499" s="17"/>
    </row>
    <row r="500" ht="12.75">
      <c r="B500" s="17"/>
    </row>
    <row r="501" ht="12.75">
      <c r="B501" s="17"/>
    </row>
    <row r="502" ht="12.75">
      <c r="B502" s="17"/>
    </row>
    <row r="503" ht="12.75">
      <c r="B503" s="17"/>
    </row>
    <row r="504" ht="12.75">
      <c r="B504" s="17"/>
    </row>
    <row r="505" ht="12.75">
      <c r="B505" s="17"/>
    </row>
    <row r="506" ht="12.75">
      <c r="B506" s="17"/>
    </row>
    <row r="507" ht="12.75">
      <c r="B507" s="17"/>
    </row>
    <row r="508" ht="12.75">
      <c r="B508" s="17"/>
    </row>
    <row r="509" ht="12.75">
      <c r="B509" s="17"/>
    </row>
    <row r="510" ht="12.75">
      <c r="B510" s="17"/>
    </row>
    <row r="511" ht="12.75">
      <c r="B511" s="17"/>
    </row>
    <row r="512" ht="12.75">
      <c r="B512" s="17"/>
    </row>
    <row r="513" ht="12.75">
      <c r="B513" s="17"/>
    </row>
    <row r="514" ht="12.75">
      <c r="B514" s="17"/>
    </row>
    <row r="515" ht="12.75">
      <c r="B515" s="17"/>
    </row>
    <row r="516" ht="12.75">
      <c r="B516" s="17"/>
    </row>
    <row r="517" ht="12.75">
      <c r="B517" s="17"/>
    </row>
    <row r="518" ht="12.75">
      <c r="B518" s="17"/>
    </row>
    <row r="519" ht="12.75">
      <c r="B519" s="17"/>
    </row>
    <row r="520" ht="12.75">
      <c r="B520" s="17"/>
    </row>
    <row r="521" ht="12.75">
      <c r="B521" s="17"/>
    </row>
    <row r="522" ht="12.75">
      <c r="B522" s="17"/>
    </row>
    <row r="523" ht="12.75">
      <c r="B523" s="17"/>
    </row>
    <row r="524" ht="12.75">
      <c r="B524" s="17"/>
    </row>
    <row r="525" ht="12.75">
      <c r="B525" s="17"/>
    </row>
    <row r="526" ht="12.75">
      <c r="B526" s="17"/>
    </row>
    <row r="527" ht="12.75">
      <c r="B527" s="17"/>
    </row>
    <row r="528" ht="12.75">
      <c r="B528" s="17"/>
    </row>
    <row r="529" ht="12.75">
      <c r="B529" s="17"/>
    </row>
    <row r="530" ht="12.75">
      <c r="B530" s="17"/>
    </row>
    <row r="531" ht="12.75">
      <c r="B531" s="17"/>
    </row>
    <row r="532" ht="12.75">
      <c r="B532" s="17"/>
    </row>
    <row r="533" ht="12.75">
      <c r="B533" s="17"/>
    </row>
    <row r="534" ht="12.75">
      <c r="B534" s="17"/>
    </row>
    <row r="535" ht="12.75">
      <c r="B535" s="17"/>
    </row>
    <row r="536" ht="12.75">
      <c r="B536" s="17"/>
    </row>
    <row r="537" ht="12.75">
      <c r="B537" s="17"/>
    </row>
    <row r="538" ht="12.75">
      <c r="B538" s="17"/>
    </row>
    <row r="539" ht="12.75">
      <c r="B539" s="17"/>
    </row>
    <row r="540" ht="12.75">
      <c r="B540" s="17"/>
    </row>
    <row r="541" ht="12.75">
      <c r="B541" s="17"/>
    </row>
    <row r="542" ht="12.75">
      <c r="B542" s="17"/>
    </row>
    <row r="543" ht="12.75">
      <c r="B543" s="17"/>
    </row>
  </sheetData>
  <sheetProtection/>
  <mergeCells count="5">
    <mergeCell ref="A2:B2"/>
    <mergeCell ref="A3:B3"/>
    <mergeCell ref="A1:B1"/>
    <mergeCell ref="A6:B6"/>
    <mergeCell ref="A5:B5"/>
  </mergeCells>
  <printOptions horizontalCentered="1"/>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N16"/>
  <sheetViews>
    <sheetView view="pageBreakPreview" zoomScale="110" zoomScaleSheetLayoutView="110" zoomScalePageLayoutView="0" workbookViewId="0" topLeftCell="A1">
      <selection activeCell="A1" sqref="A1:H1"/>
    </sheetView>
  </sheetViews>
  <sheetFormatPr defaultColWidth="9.140625" defaultRowHeight="15"/>
  <cols>
    <col min="1" max="1" width="5.140625" style="4" customWidth="1"/>
    <col min="2" max="2" width="37.57421875" style="4" customWidth="1"/>
    <col min="3" max="3" width="23.421875" style="4" customWidth="1"/>
    <col min="4" max="4" width="26.00390625" style="4" customWidth="1"/>
    <col min="5" max="5" width="51.421875" style="4" customWidth="1"/>
    <col min="6" max="6" width="27.28125" style="4" customWidth="1"/>
    <col min="7" max="8" width="24.140625" style="4" customWidth="1"/>
    <col min="9" max="16384" width="9.140625" style="4" customWidth="1"/>
  </cols>
  <sheetData>
    <row r="1" spans="1:14" s="1" customFormat="1" ht="38.25" customHeight="1">
      <c r="A1" s="148" t="s">
        <v>137</v>
      </c>
      <c r="B1" s="148"/>
      <c r="C1" s="148"/>
      <c r="D1" s="148"/>
      <c r="E1" s="148"/>
      <c r="F1" s="148"/>
      <c r="G1" s="148"/>
      <c r="H1" s="148"/>
      <c r="I1" s="27"/>
      <c r="J1" s="27"/>
      <c r="K1" s="27"/>
      <c r="L1" s="27"/>
      <c r="M1" s="27"/>
      <c r="N1" s="27"/>
    </row>
    <row r="2" spans="1:8" ht="91.5" customHeight="1" thickBot="1">
      <c r="A2" s="147" t="s">
        <v>119</v>
      </c>
      <c r="B2" s="103"/>
      <c r="C2" s="103"/>
      <c r="D2" s="103"/>
      <c r="E2" s="103"/>
      <c r="F2" s="103"/>
      <c r="G2" s="103"/>
      <c r="H2" s="103"/>
    </row>
    <row r="3" spans="1:8" ht="36" customHeight="1">
      <c r="A3" s="150" t="s">
        <v>16</v>
      </c>
      <c r="B3" s="142" t="s">
        <v>30</v>
      </c>
      <c r="C3" s="142" t="s">
        <v>31</v>
      </c>
      <c r="D3" s="145" t="s">
        <v>90</v>
      </c>
      <c r="E3" s="142" t="s">
        <v>32</v>
      </c>
      <c r="F3" s="142" t="s">
        <v>89</v>
      </c>
      <c r="G3" s="142" t="s">
        <v>33</v>
      </c>
      <c r="H3" s="144"/>
    </row>
    <row r="4" spans="1:8" s="5" customFormat="1" ht="36" customHeight="1">
      <c r="A4" s="151"/>
      <c r="B4" s="143"/>
      <c r="C4" s="143"/>
      <c r="D4" s="146"/>
      <c r="E4" s="143"/>
      <c r="F4" s="143"/>
      <c r="G4" s="33" t="s">
        <v>91</v>
      </c>
      <c r="H4" s="34" t="s">
        <v>92</v>
      </c>
    </row>
    <row r="5" spans="1:8" s="98" customFormat="1" ht="96">
      <c r="A5" s="94">
        <v>1</v>
      </c>
      <c r="B5" s="93" t="s">
        <v>121</v>
      </c>
      <c r="C5" s="95" t="s">
        <v>120</v>
      </c>
      <c r="D5" s="96">
        <v>43125</v>
      </c>
      <c r="E5" s="95" t="s">
        <v>122</v>
      </c>
      <c r="F5" s="97" t="s">
        <v>123</v>
      </c>
      <c r="G5" s="97" t="s">
        <v>130</v>
      </c>
      <c r="H5" s="97"/>
    </row>
    <row r="6" spans="1:8" s="98" customFormat="1" ht="48">
      <c r="A6" s="94">
        <v>2</v>
      </c>
      <c r="B6" s="93" t="s">
        <v>121</v>
      </c>
      <c r="C6" s="95" t="s">
        <v>120</v>
      </c>
      <c r="D6" s="96">
        <v>43125</v>
      </c>
      <c r="E6" s="95" t="s">
        <v>124</v>
      </c>
      <c r="F6" s="97" t="s">
        <v>125</v>
      </c>
      <c r="G6" s="97" t="s">
        <v>131</v>
      </c>
      <c r="H6" s="97"/>
    </row>
    <row r="7" spans="1:8" s="98" customFormat="1" ht="108">
      <c r="A7" s="94">
        <v>3</v>
      </c>
      <c r="B7" s="93" t="s">
        <v>121</v>
      </c>
      <c r="C7" s="95" t="s">
        <v>120</v>
      </c>
      <c r="D7" s="96">
        <v>43125</v>
      </c>
      <c r="E7" s="95" t="s">
        <v>126</v>
      </c>
      <c r="F7" s="97" t="s">
        <v>127</v>
      </c>
      <c r="G7" s="97" t="s">
        <v>127</v>
      </c>
      <c r="H7" s="97"/>
    </row>
    <row r="8" spans="1:8" ht="90">
      <c r="A8" s="6">
        <v>4</v>
      </c>
      <c r="B8" s="93" t="s">
        <v>121</v>
      </c>
      <c r="C8" s="95" t="s">
        <v>120</v>
      </c>
      <c r="D8" s="96">
        <v>43125</v>
      </c>
      <c r="E8" s="7" t="s">
        <v>129</v>
      </c>
      <c r="F8" s="97" t="s">
        <v>128</v>
      </c>
      <c r="G8" s="97" t="s">
        <v>128</v>
      </c>
      <c r="H8" s="97"/>
    </row>
    <row r="9" spans="1:8" ht="15">
      <c r="A9" s="6"/>
      <c r="B9" s="7"/>
      <c r="C9" s="7"/>
      <c r="D9" s="7"/>
      <c r="E9" s="7"/>
      <c r="F9" s="8"/>
      <c r="G9" s="8"/>
      <c r="H9" s="9"/>
    </row>
    <row r="10" spans="1:8" ht="15">
      <c r="A10" s="6"/>
      <c r="B10" s="7"/>
      <c r="C10" s="7"/>
      <c r="D10" s="7"/>
      <c r="E10" s="7"/>
      <c r="F10" s="8"/>
      <c r="G10" s="8"/>
      <c r="H10" s="9"/>
    </row>
    <row r="11" spans="1:8" ht="15">
      <c r="A11" s="6"/>
      <c r="B11" s="7"/>
      <c r="C11" s="7"/>
      <c r="D11" s="7"/>
      <c r="E11" s="7"/>
      <c r="F11" s="8"/>
      <c r="G11" s="8"/>
      <c r="H11" s="9"/>
    </row>
    <row r="12" spans="1:8" ht="17.25" customHeight="1">
      <c r="A12" s="6"/>
      <c r="B12" s="7"/>
      <c r="C12" s="7"/>
      <c r="D12" s="7"/>
      <c r="E12" s="7"/>
      <c r="F12" s="8"/>
      <c r="G12" s="8"/>
      <c r="H12" s="9"/>
    </row>
    <row r="13" spans="1:8" ht="15">
      <c r="A13" s="6"/>
      <c r="B13" s="7"/>
      <c r="C13" s="7"/>
      <c r="D13" s="7"/>
      <c r="E13" s="7"/>
      <c r="F13" s="8"/>
      <c r="G13" s="8"/>
      <c r="H13" s="9"/>
    </row>
    <row r="14" spans="1:8" ht="15">
      <c r="A14" s="6"/>
      <c r="B14" s="7"/>
      <c r="C14" s="7"/>
      <c r="D14" s="7"/>
      <c r="E14" s="7"/>
      <c r="F14" s="8"/>
      <c r="G14" s="8"/>
      <c r="H14" s="9"/>
    </row>
    <row r="15" spans="1:8" ht="15">
      <c r="A15" s="6"/>
      <c r="B15" s="7"/>
      <c r="C15" s="7"/>
      <c r="D15" s="7"/>
      <c r="E15" s="7"/>
      <c r="F15" s="8"/>
      <c r="G15" s="8"/>
      <c r="H15" s="9"/>
    </row>
    <row r="16" spans="1:8" ht="67.5" customHeight="1">
      <c r="A16" s="149" t="s">
        <v>83</v>
      </c>
      <c r="B16" s="149"/>
      <c r="C16" s="149"/>
      <c r="D16" s="149"/>
      <c r="E16" s="149"/>
      <c r="F16" s="149"/>
      <c r="G16" s="149"/>
      <c r="H16" s="149"/>
    </row>
  </sheetData>
  <sheetProtection/>
  <mergeCells count="10">
    <mergeCell ref="F3:F4"/>
    <mergeCell ref="G3:H3"/>
    <mergeCell ref="D3:D4"/>
    <mergeCell ref="A2:H2"/>
    <mergeCell ref="A1:H1"/>
    <mergeCell ref="A16:H16"/>
    <mergeCell ref="A3:A4"/>
    <mergeCell ref="B3:B4"/>
    <mergeCell ref="C3:C4"/>
    <mergeCell ref="E3:E4"/>
  </mergeCells>
  <printOptions horizontalCentered="1"/>
  <pageMargins left="0.17" right="0.18" top="0.75" bottom="0.75" header="0.3" footer="0.3"/>
  <pageSetup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tabColor rgb="FF92D050"/>
  </sheetPr>
  <dimension ref="A1:K206"/>
  <sheetViews>
    <sheetView zoomScalePageLayoutView="0" workbookViewId="0" topLeftCell="A139">
      <selection activeCell="B41" sqref="B41"/>
    </sheetView>
  </sheetViews>
  <sheetFormatPr defaultColWidth="9.140625" defaultRowHeight="15"/>
  <cols>
    <col min="1" max="1" width="39.421875" style="0" customWidth="1"/>
    <col min="2" max="2" width="43.57421875" style="0" customWidth="1"/>
    <col min="3" max="3" width="23.57421875" style="0" customWidth="1"/>
    <col min="4" max="4" width="17.00390625" style="0" customWidth="1"/>
    <col min="5" max="5" width="15.57421875" style="0" customWidth="1"/>
    <col min="7" max="7" width="12.7109375" style="0" customWidth="1"/>
    <col min="8" max="8" width="13.28125" style="0" customWidth="1"/>
    <col min="9" max="9" width="11.57421875" style="0" customWidth="1"/>
    <col min="10" max="10" width="29.8515625" style="0" customWidth="1"/>
    <col min="11" max="11" width="18.00390625" style="0" customWidth="1"/>
  </cols>
  <sheetData>
    <row r="1" spans="1:11" ht="30" customHeight="1">
      <c r="A1" s="160" t="s">
        <v>138</v>
      </c>
      <c r="B1" s="161"/>
      <c r="C1" s="161"/>
      <c r="D1" s="161"/>
      <c r="E1" s="161"/>
      <c r="F1" s="161"/>
      <c r="G1" s="161"/>
      <c r="H1" s="161"/>
      <c r="I1" s="161"/>
      <c r="J1" s="161"/>
      <c r="K1" s="162"/>
    </row>
    <row r="2" spans="1:11" ht="40.5" customHeight="1">
      <c r="A2" s="163" t="s">
        <v>139</v>
      </c>
      <c r="B2" s="163"/>
      <c r="C2" s="163"/>
      <c r="D2" s="163"/>
      <c r="E2" s="163"/>
      <c r="F2" s="163"/>
      <c r="G2" s="163"/>
      <c r="H2" s="163"/>
      <c r="I2" s="163"/>
      <c r="J2" s="163"/>
      <c r="K2" s="163"/>
    </row>
    <row r="3" spans="1:11" ht="25.5" customHeight="1">
      <c r="A3" s="164" t="s">
        <v>140</v>
      </c>
      <c r="B3" s="164" t="s">
        <v>14</v>
      </c>
      <c r="C3" s="164" t="s">
        <v>141</v>
      </c>
      <c r="D3" s="164" t="s">
        <v>15</v>
      </c>
      <c r="E3" s="164"/>
      <c r="F3" s="164"/>
      <c r="G3" s="164" t="s">
        <v>142</v>
      </c>
      <c r="H3" s="164"/>
      <c r="I3" s="164"/>
      <c r="J3" s="164" t="s">
        <v>10</v>
      </c>
      <c r="K3" s="164" t="s">
        <v>11</v>
      </c>
    </row>
    <row r="4" spans="1:11" ht="38.25">
      <c r="A4" s="164"/>
      <c r="B4" s="164"/>
      <c r="C4" s="164"/>
      <c r="D4" s="165" t="s">
        <v>143</v>
      </c>
      <c r="E4" s="165" t="s">
        <v>144</v>
      </c>
      <c r="F4" s="165" t="s">
        <v>145</v>
      </c>
      <c r="G4" s="165" t="s">
        <v>143</v>
      </c>
      <c r="H4" s="165" t="s">
        <v>144</v>
      </c>
      <c r="I4" s="165" t="s">
        <v>145</v>
      </c>
      <c r="J4" s="164"/>
      <c r="K4" s="164"/>
    </row>
    <row r="5" spans="1:11" ht="30" customHeight="1">
      <c r="A5" s="166" t="s">
        <v>146</v>
      </c>
      <c r="B5" s="167" t="s">
        <v>147</v>
      </c>
      <c r="C5" s="166" t="s">
        <v>148</v>
      </c>
      <c r="D5" s="166">
        <v>2693.84</v>
      </c>
      <c r="E5" s="166"/>
      <c r="F5" s="166"/>
      <c r="G5" s="166">
        <v>2665.29</v>
      </c>
      <c r="H5" s="168"/>
      <c r="I5" s="168"/>
      <c r="J5" s="166" t="s">
        <v>72</v>
      </c>
      <c r="K5" s="168"/>
    </row>
    <row r="6" spans="1:11" ht="30" customHeight="1">
      <c r="A6" s="169" t="s">
        <v>149</v>
      </c>
      <c r="B6" s="170" t="s">
        <v>150</v>
      </c>
      <c r="C6" s="171" t="s">
        <v>151</v>
      </c>
      <c r="D6" s="172">
        <v>4851.22</v>
      </c>
      <c r="E6" s="166"/>
      <c r="F6" s="166"/>
      <c r="G6" s="172">
        <v>4851.22</v>
      </c>
      <c r="H6" s="166"/>
      <c r="I6" s="166"/>
      <c r="J6" s="166" t="s">
        <v>72</v>
      </c>
      <c r="K6" s="166"/>
    </row>
    <row r="7" spans="1:11" ht="30" customHeight="1">
      <c r="A7" s="169" t="s">
        <v>152</v>
      </c>
      <c r="B7" s="170" t="s">
        <v>153</v>
      </c>
      <c r="C7" s="169" t="s">
        <v>154</v>
      </c>
      <c r="D7" s="173">
        <f>5100*12</f>
        <v>61200</v>
      </c>
      <c r="E7" s="166"/>
      <c r="F7" s="166"/>
      <c r="G7" s="172">
        <v>61200</v>
      </c>
      <c r="H7" s="166"/>
      <c r="I7" s="166"/>
      <c r="J7" s="166" t="s">
        <v>72</v>
      </c>
      <c r="K7" s="166"/>
    </row>
    <row r="8" spans="1:11" ht="30" customHeight="1">
      <c r="A8" s="169" t="s">
        <v>155</v>
      </c>
      <c r="B8" s="170" t="s">
        <v>156</v>
      </c>
      <c r="C8" s="169" t="s">
        <v>157</v>
      </c>
      <c r="D8" s="173">
        <v>2000</v>
      </c>
      <c r="E8" s="166"/>
      <c r="F8" s="166"/>
      <c r="G8" s="172">
        <v>991.73</v>
      </c>
      <c r="H8" s="174"/>
      <c r="I8" s="166"/>
      <c r="J8" s="166" t="s">
        <v>72</v>
      </c>
      <c r="K8" s="166"/>
    </row>
    <row r="9" spans="1:11" ht="30" customHeight="1">
      <c r="A9" s="169" t="s">
        <v>155</v>
      </c>
      <c r="B9" s="170" t="s">
        <v>158</v>
      </c>
      <c r="C9" s="169" t="s">
        <v>159</v>
      </c>
      <c r="D9" s="175">
        <v>500</v>
      </c>
      <c r="E9" s="166"/>
      <c r="F9" s="166"/>
      <c r="G9" s="172">
        <v>174</v>
      </c>
      <c r="H9" s="174"/>
      <c r="I9" s="166"/>
      <c r="J9" s="166" t="s">
        <v>72</v>
      </c>
      <c r="K9" s="166"/>
    </row>
    <row r="10" spans="1:11" ht="30" customHeight="1">
      <c r="A10" s="169" t="s">
        <v>160</v>
      </c>
      <c r="B10" s="176" t="s">
        <v>161</v>
      </c>
      <c r="C10" s="169" t="s">
        <v>162</v>
      </c>
      <c r="D10" s="173">
        <f>36*10*12</f>
        <v>4320</v>
      </c>
      <c r="E10" s="166"/>
      <c r="F10" s="166"/>
      <c r="G10" s="172">
        <v>4320</v>
      </c>
      <c r="H10" s="174"/>
      <c r="I10" s="166"/>
      <c r="J10" s="166" t="s">
        <v>72</v>
      </c>
      <c r="K10" s="166"/>
    </row>
    <row r="11" spans="1:11" ht="30" customHeight="1">
      <c r="A11" s="169" t="s">
        <v>163</v>
      </c>
      <c r="B11" s="176" t="s">
        <v>164</v>
      </c>
      <c r="C11" s="169" t="s">
        <v>162</v>
      </c>
      <c r="D11" s="173">
        <f>0.5*365*2</f>
        <v>365</v>
      </c>
      <c r="E11" s="166"/>
      <c r="F11" s="166"/>
      <c r="G11" s="172">
        <v>365</v>
      </c>
      <c r="H11" s="174"/>
      <c r="I11" s="166"/>
      <c r="J11" s="166" t="s">
        <v>72</v>
      </c>
      <c r="K11" s="166"/>
    </row>
    <row r="12" spans="1:11" ht="30" customHeight="1">
      <c r="A12" s="169" t="s">
        <v>165</v>
      </c>
      <c r="B12" s="176" t="s">
        <v>166</v>
      </c>
      <c r="C12" s="169" t="s">
        <v>167</v>
      </c>
      <c r="D12" s="173">
        <v>500</v>
      </c>
      <c r="E12" s="166"/>
      <c r="F12" s="166"/>
      <c r="G12" s="172">
        <v>359.5</v>
      </c>
      <c r="H12" s="174"/>
      <c r="I12" s="166"/>
      <c r="J12" s="166" t="s">
        <v>72</v>
      </c>
      <c r="K12" s="166"/>
    </row>
    <row r="13" spans="1:11" ht="30" customHeight="1">
      <c r="A13" s="177" t="s">
        <v>168</v>
      </c>
      <c r="B13" s="178" t="s">
        <v>169</v>
      </c>
      <c r="C13" s="169" t="s">
        <v>167</v>
      </c>
      <c r="D13" s="173">
        <v>325</v>
      </c>
      <c r="E13" s="166"/>
      <c r="F13" s="166"/>
      <c r="G13" s="172">
        <v>325</v>
      </c>
      <c r="H13" s="174"/>
      <c r="I13" s="166"/>
      <c r="J13" s="166" t="s">
        <v>72</v>
      </c>
      <c r="K13" s="166"/>
    </row>
    <row r="14" spans="1:11" ht="30" customHeight="1">
      <c r="A14" s="169" t="s">
        <v>170</v>
      </c>
      <c r="B14" s="170" t="s">
        <v>171</v>
      </c>
      <c r="C14" s="169" t="s">
        <v>167</v>
      </c>
      <c r="D14" s="173">
        <f>30+10+10</f>
        <v>50</v>
      </c>
      <c r="E14" s="166"/>
      <c r="F14" s="166"/>
      <c r="G14" s="172">
        <v>50</v>
      </c>
      <c r="H14" s="174"/>
      <c r="I14" s="166"/>
      <c r="J14" s="166" t="s">
        <v>72</v>
      </c>
      <c r="K14" s="166"/>
    </row>
    <row r="15" spans="1:11" ht="30" customHeight="1">
      <c r="A15" s="169" t="s">
        <v>172</v>
      </c>
      <c r="B15" s="170" t="s">
        <v>173</v>
      </c>
      <c r="C15" s="169" t="s">
        <v>167</v>
      </c>
      <c r="D15" s="173">
        <f>4000*(0.25+0.17+0.25)</f>
        <v>2680</v>
      </c>
      <c r="E15" s="166"/>
      <c r="F15" s="166"/>
      <c r="G15" s="172">
        <v>2680</v>
      </c>
      <c r="H15" s="174"/>
      <c r="I15" s="166"/>
      <c r="J15" s="166" t="s">
        <v>72</v>
      </c>
      <c r="K15" s="166"/>
    </row>
    <row r="16" spans="1:11" ht="30" customHeight="1">
      <c r="A16" s="169" t="s">
        <v>174</v>
      </c>
      <c r="B16" s="170" t="s">
        <v>175</v>
      </c>
      <c r="C16" s="169" t="s">
        <v>162</v>
      </c>
      <c r="D16" s="173">
        <v>500</v>
      </c>
      <c r="E16" s="166"/>
      <c r="F16" s="166"/>
      <c r="G16" s="172">
        <v>450</v>
      </c>
      <c r="H16" s="174"/>
      <c r="I16" s="166"/>
      <c r="J16" s="166" t="s">
        <v>72</v>
      </c>
      <c r="K16" s="166"/>
    </row>
    <row r="17" spans="1:11" ht="30" customHeight="1">
      <c r="A17" s="179" t="s">
        <v>176</v>
      </c>
      <c r="B17" s="170" t="s">
        <v>177</v>
      </c>
      <c r="C17" s="169" t="s">
        <v>162</v>
      </c>
      <c r="D17" s="173">
        <f>900*4.67</f>
        <v>4203</v>
      </c>
      <c r="E17" s="166"/>
      <c r="F17" s="166"/>
      <c r="G17" s="172">
        <v>4203</v>
      </c>
      <c r="H17" s="180"/>
      <c r="I17" s="169"/>
      <c r="J17" s="171" t="s">
        <v>72</v>
      </c>
      <c r="K17" s="172"/>
    </row>
    <row r="18" spans="1:11" ht="30" customHeight="1">
      <c r="A18" s="181" t="s">
        <v>178</v>
      </c>
      <c r="B18" s="182" t="s">
        <v>179</v>
      </c>
      <c r="C18" s="169" t="s">
        <v>180</v>
      </c>
      <c r="D18" s="172">
        <f>9050+250</f>
        <v>9300</v>
      </c>
      <c r="E18" s="166"/>
      <c r="F18" s="166"/>
      <c r="G18" s="172">
        <v>9300</v>
      </c>
      <c r="H18" s="180"/>
      <c r="I18" s="169"/>
      <c r="J18" s="171" t="s">
        <v>72</v>
      </c>
      <c r="K18" s="172"/>
    </row>
    <row r="19" spans="1:11" ht="30" customHeight="1">
      <c r="A19" s="177" t="s">
        <v>181</v>
      </c>
      <c r="B19" s="182" t="s">
        <v>182</v>
      </c>
      <c r="C19" s="169" t="s">
        <v>162</v>
      </c>
      <c r="D19" s="173">
        <v>150</v>
      </c>
      <c r="E19" s="166"/>
      <c r="F19" s="166"/>
      <c r="G19" s="172">
        <v>150</v>
      </c>
      <c r="H19" s="180"/>
      <c r="I19" s="169"/>
      <c r="J19" s="171" t="s">
        <v>72</v>
      </c>
      <c r="K19" s="172"/>
    </row>
    <row r="20" spans="1:11" ht="30" customHeight="1">
      <c r="A20" s="169" t="s">
        <v>183</v>
      </c>
      <c r="B20" s="170" t="s">
        <v>184</v>
      </c>
      <c r="C20" s="169" t="s">
        <v>148</v>
      </c>
      <c r="D20" s="173">
        <v>1137</v>
      </c>
      <c r="E20" s="166"/>
      <c r="F20" s="166"/>
      <c r="G20" s="172">
        <v>1137</v>
      </c>
      <c r="H20" s="180"/>
      <c r="I20" s="169"/>
      <c r="J20" s="171" t="s">
        <v>72</v>
      </c>
      <c r="K20" s="172"/>
    </row>
    <row r="21" spans="1:11" ht="30" customHeight="1">
      <c r="A21" s="169" t="s">
        <v>183</v>
      </c>
      <c r="B21" s="170" t="s">
        <v>185</v>
      </c>
      <c r="C21" s="169" t="s">
        <v>148</v>
      </c>
      <c r="D21" s="173">
        <v>1259.99</v>
      </c>
      <c r="E21" s="166"/>
      <c r="F21" s="166"/>
      <c r="G21" s="172">
        <v>1259.99</v>
      </c>
      <c r="H21" s="180"/>
      <c r="I21" s="169"/>
      <c r="J21" s="171" t="s">
        <v>72</v>
      </c>
      <c r="K21" s="172"/>
    </row>
    <row r="22" spans="1:11" ht="30" customHeight="1">
      <c r="A22" s="177" t="s">
        <v>186</v>
      </c>
      <c r="B22" s="183" t="s">
        <v>187</v>
      </c>
      <c r="C22" s="169" t="s">
        <v>162</v>
      </c>
      <c r="D22" s="173">
        <f>640/0.8</f>
        <v>800</v>
      </c>
      <c r="E22" s="166"/>
      <c r="F22" s="166"/>
      <c r="G22" s="172">
        <v>800</v>
      </c>
      <c r="H22" s="180"/>
      <c r="I22" s="169"/>
      <c r="J22" s="171" t="s">
        <v>72</v>
      </c>
      <c r="K22" s="172"/>
    </row>
    <row r="23" spans="1:11" ht="30" customHeight="1">
      <c r="A23" s="177" t="s">
        <v>188</v>
      </c>
      <c r="B23" s="183" t="s">
        <v>189</v>
      </c>
      <c r="C23" s="169" t="s">
        <v>162</v>
      </c>
      <c r="D23" s="173">
        <v>550</v>
      </c>
      <c r="E23" s="166"/>
      <c r="F23" s="166"/>
      <c r="G23" s="172">
        <v>550</v>
      </c>
      <c r="H23" s="180"/>
      <c r="I23" s="169"/>
      <c r="J23" s="171" t="s">
        <v>72</v>
      </c>
      <c r="K23" s="172"/>
    </row>
    <row r="24" spans="1:11" ht="30" customHeight="1">
      <c r="A24" s="177" t="s">
        <v>190</v>
      </c>
      <c r="B24" s="170" t="s">
        <v>191</v>
      </c>
      <c r="C24" s="169" t="s">
        <v>148</v>
      </c>
      <c r="D24" s="173">
        <f>600*7</f>
        <v>4200</v>
      </c>
      <c r="E24" s="166"/>
      <c r="F24" s="166"/>
      <c r="G24" s="172">
        <v>4200</v>
      </c>
      <c r="H24" s="180"/>
      <c r="I24" s="169"/>
      <c r="J24" s="171" t="s">
        <v>72</v>
      </c>
      <c r="K24" s="172"/>
    </row>
    <row r="25" spans="1:11" ht="30" customHeight="1">
      <c r="A25" s="177" t="s">
        <v>146</v>
      </c>
      <c r="B25" s="170" t="s">
        <v>147</v>
      </c>
      <c r="C25" s="169" t="s">
        <v>148</v>
      </c>
      <c r="D25" s="173">
        <v>400</v>
      </c>
      <c r="E25" s="166"/>
      <c r="F25" s="166"/>
      <c r="G25" s="172">
        <v>0</v>
      </c>
      <c r="H25" s="180"/>
      <c r="I25" s="169"/>
      <c r="J25" s="171" t="s">
        <v>72</v>
      </c>
      <c r="K25" s="172"/>
    </row>
    <row r="26" spans="1:11" ht="30" customHeight="1">
      <c r="A26" s="177" t="s">
        <v>146</v>
      </c>
      <c r="B26" s="170" t="s">
        <v>147</v>
      </c>
      <c r="C26" s="169" t="s">
        <v>148</v>
      </c>
      <c r="D26" s="173">
        <v>9000</v>
      </c>
      <c r="E26" s="166"/>
      <c r="F26" s="166"/>
      <c r="G26" s="172">
        <v>6048.799999999999</v>
      </c>
      <c r="H26" s="180"/>
      <c r="I26" s="169"/>
      <c r="J26" s="171" t="s">
        <v>72</v>
      </c>
      <c r="K26" s="172"/>
    </row>
    <row r="27" spans="1:11" ht="30" customHeight="1">
      <c r="A27" s="169" t="s">
        <v>192</v>
      </c>
      <c r="B27" s="170" t="s">
        <v>147</v>
      </c>
      <c r="C27" s="169" t="s">
        <v>193</v>
      </c>
      <c r="D27" s="175">
        <v>500</v>
      </c>
      <c r="E27" s="166"/>
      <c r="F27" s="166"/>
      <c r="G27" s="172">
        <v>435.84000000000003</v>
      </c>
      <c r="H27" s="180"/>
      <c r="I27" s="169"/>
      <c r="J27" s="171" t="s">
        <v>72</v>
      </c>
      <c r="K27" s="172"/>
    </row>
    <row r="28" spans="1:11" ht="30" customHeight="1">
      <c r="A28" s="177" t="s">
        <v>181</v>
      </c>
      <c r="B28" s="170" t="s">
        <v>194</v>
      </c>
      <c r="C28" s="169" t="s">
        <v>162</v>
      </c>
      <c r="D28" s="173">
        <f>2*646</f>
        <v>1292</v>
      </c>
      <c r="E28" s="166"/>
      <c r="F28" s="166"/>
      <c r="G28" s="172">
        <v>1292</v>
      </c>
      <c r="H28" s="180"/>
      <c r="I28" s="169"/>
      <c r="J28" s="171" t="s">
        <v>72</v>
      </c>
      <c r="K28" s="172"/>
    </row>
    <row r="29" spans="1:11" ht="30" customHeight="1">
      <c r="A29" s="177" t="s">
        <v>195</v>
      </c>
      <c r="B29" s="170" t="s">
        <v>196</v>
      </c>
      <c r="C29" s="169" t="s">
        <v>197</v>
      </c>
      <c r="D29" s="173">
        <v>288</v>
      </c>
      <c r="E29" s="166"/>
      <c r="F29" s="166"/>
      <c r="G29" s="172">
        <v>288</v>
      </c>
      <c r="H29" s="180"/>
      <c r="I29" s="169"/>
      <c r="J29" s="171" t="s">
        <v>72</v>
      </c>
      <c r="K29" s="172"/>
    </row>
    <row r="30" spans="1:11" ht="30" customHeight="1">
      <c r="A30" s="169" t="s">
        <v>198</v>
      </c>
      <c r="B30" s="184" t="s">
        <v>199</v>
      </c>
      <c r="C30" s="169" t="s">
        <v>162</v>
      </c>
      <c r="D30" s="173">
        <f>100/0.8</f>
        <v>125</v>
      </c>
      <c r="E30" s="166"/>
      <c r="F30" s="166"/>
      <c r="G30" s="172">
        <v>125</v>
      </c>
      <c r="H30" s="180"/>
      <c r="I30" s="169"/>
      <c r="J30" s="171" t="s">
        <v>72</v>
      </c>
      <c r="K30" s="172"/>
    </row>
    <row r="31" spans="1:11" ht="30" customHeight="1">
      <c r="A31" s="169" t="s">
        <v>200</v>
      </c>
      <c r="B31" s="184" t="s">
        <v>187</v>
      </c>
      <c r="C31" s="169" t="s">
        <v>162</v>
      </c>
      <c r="D31" s="173">
        <f>380+95</f>
        <v>475</v>
      </c>
      <c r="E31" s="166"/>
      <c r="F31" s="166"/>
      <c r="G31" s="172">
        <v>475</v>
      </c>
      <c r="H31" s="180"/>
      <c r="I31" s="169"/>
      <c r="J31" s="171" t="s">
        <v>72</v>
      </c>
      <c r="K31" s="172"/>
    </row>
    <row r="32" spans="1:11" ht="30" customHeight="1">
      <c r="A32" s="177" t="s">
        <v>168</v>
      </c>
      <c r="B32" s="178" t="s">
        <v>201</v>
      </c>
      <c r="C32" s="169" t="s">
        <v>167</v>
      </c>
      <c r="D32" s="173">
        <f>11*397</f>
        <v>4367</v>
      </c>
      <c r="E32" s="166"/>
      <c r="F32" s="166"/>
      <c r="G32" s="172">
        <v>4367</v>
      </c>
      <c r="H32" s="180"/>
      <c r="I32" s="169"/>
      <c r="J32" s="171" t="s">
        <v>72</v>
      </c>
      <c r="K32" s="172"/>
    </row>
    <row r="33" spans="1:11" ht="30" customHeight="1">
      <c r="A33" s="177" t="s">
        <v>202</v>
      </c>
      <c r="B33" s="176" t="s">
        <v>203</v>
      </c>
      <c r="C33" s="169" t="s">
        <v>167</v>
      </c>
      <c r="D33" s="173">
        <f>100*2</f>
        <v>200</v>
      </c>
      <c r="E33" s="166"/>
      <c r="F33" s="166"/>
      <c r="G33" s="172">
        <v>200</v>
      </c>
      <c r="H33" s="180"/>
      <c r="I33" s="169"/>
      <c r="J33" s="171" t="s">
        <v>72</v>
      </c>
      <c r="K33" s="172"/>
    </row>
    <row r="34" spans="1:11" ht="30" customHeight="1">
      <c r="A34" s="177" t="s">
        <v>204</v>
      </c>
      <c r="B34" s="176" t="s">
        <v>205</v>
      </c>
      <c r="C34" s="169" t="s">
        <v>167</v>
      </c>
      <c r="D34" s="173">
        <v>900</v>
      </c>
      <c r="E34" s="166"/>
      <c r="F34" s="166"/>
      <c r="G34" s="172">
        <v>900</v>
      </c>
      <c r="H34" s="180"/>
      <c r="I34" s="169"/>
      <c r="J34" s="171" t="s">
        <v>72</v>
      </c>
      <c r="K34" s="172"/>
    </row>
    <row r="35" spans="1:11" ht="30" customHeight="1">
      <c r="A35" s="185" t="s">
        <v>178</v>
      </c>
      <c r="B35" s="170" t="s">
        <v>206</v>
      </c>
      <c r="C35" s="169" t="s">
        <v>167</v>
      </c>
      <c r="D35" s="173">
        <f>2*120</f>
        <v>240</v>
      </c>
      <c r="E35" s="166"/>
      <c r="F35" s="166"/>
      <c r="G35" s="172">
        <v>240</v>
      </c>
      <c r="H35" s="180"/>
      <c r="I35" s="169"/>
      <c r="J35" s="171" t="s">
        <v>72</v>
      </c>
      <c r="K35" s="172"/>
    </row>
    <row r="36" spans="1:11" ht="30" customHeight="1">
      <c r="A36" s="177" t="s">
        <v>207</v>
      </c>
      <c r="B36" s="170" t="s">
        <v>208</v>
      </c>
      <c r="C36" s="169" t="s">
        <v>167</v>
      </c>
      <c r="D36" s="173">
        <f>10*17+3*159</f>
        <v>647</v>
      </c>
      <c r="E36" s="166"/>
      <c r="F36" s="166"/>
      <c r="G36" s="172">
        <v>647</v>
      </c>
      <c r="H36" s="180"/>
      <c r="I36" s="169"/>
      <c r="J36" s="171" t="s">
        <v>72</v>
      </c>
      <c r="K36" s="172"/>
    </row>
    <row r="37" spans="1:11" ht="30" customHeight="1">
      <c r="A37" s="177" t="s">
        <v>209</v>
      </c>
      <c r="B37" s="170" t="s">
        <v>210</v>
      </c>
      <c r="C37" s="169" t="s">
        <v>167</v>
      </c>
      <c r="D37" s="173">
        <v>100</v>
      </c>
      <c r="E37" s="166"/>
      <c r="F37" s="166"/>
      <c r="G37" s="172">
        <v>100</v>
      </c>
      <c r="H37" s="180"/>
      <c r="I37" s="169"/>
      <c r="J37" s="171" t="s">
        <v>72</v>
      </c>
      <c r="K37" s="172"/>
    </row>
    <row r="38" spans="1:11" ht="30" customHeight="1">
      <c r="A38" s="177" t="s">
        <v>211</v>
      </c>
      <c r="B38" s="170" t="s">
        <v>212</v>
      </c>
      <c r="C38" s="169" t="s">
        <v>167</v>
      </c>
      <c r="D38" s="173">
        <f>200/0.8</f>
        <v>250</v>
      </c>
      <c r="E38" s="166"/>
      <c r="F38" s="166"/>
      <c r="G38" s="172">
        <v>250</v>
      </c>
      <c r="H38" s="180"/>
      <c r="I38" s="169"/>
      <c r="J38" s="171" t="s">
        <v>72</v>
      </c>
      <c r="K38" s="172"/>
    </row>
    <row r="39" spans="1:11" ht="30" customHeight="1">
      <c r="A39" s="177" t="s">
        <v>213</v>
      </c>
      <c r="B39" s="170" t="s">
        <v>214</v>
      </c>
      <c r="C39" s="169" t="s">
        <v>167</v>
      </c>
      <c r="D39" s="173">
        <v>508</v>
      </c>
      <c r="E39" s="166"/>
      <c r="F39" s="166"/>
      <c r="G39" s="172">
        <v>508</v>
      </c>
      <c r="H39" s="180"/>
      <c r="I39" s="169"/>
      <c r="J39" s="171" t="s">
        <v>72</v>
      </c>
      <c r="K39" s="172"/>
    </row>
    <row r="40" spans="1:11" ht="30" customHeight="1">
      <c r="A40" s="177" t="s">
        <v>215</v>
      </c>
      <c r="B40" s="170" t="s">
        <v>216</v>
      </c>
      <c r="C40" s="169" t="s">
        <v>167</v>
      </c>
      <c r="D40" s="173">
        <f>3*125</f>
        <v>375</v>
      </c>
      <c r="E40" s="166"/>
      <c r="F40" s="166"/>
      <c r="G40" s="172">
        <v>375</v>
      </c>
      <c r="H40" s="180"/>
      <c r="I40" s="169"/>
      <c r="J40" s="171" t="s">
        <v>72</v>
      </c>
      <c r="K40" s="172"/>
    </row>
    <row r="41" spans="1:11" ht="30" customHeight="1">
      <c r="A41" s="181" t="s">
        <v>217</v>
      </c>
      <c r="B41" s="170" t="s">
        <v>218</v>
      </c>
      <c r="C41" s="169" t="s">
        <v>167</v>
      </c>
      <c r="D41" s="172">
        <f>4*69</f>
        <v>276</v>
      </c>
      <c r="E41" s="166"/>
      <c r="F41" s="166"/>
      <c r="G41" s="172">
        <v>276</v>
      </c>
      <c r="H41" s="180"/>
      <c r="I41" s="169"/>
      <c r="J41" s="171" t="s">
        <v>72</v>
      </c>
      <c r="K41" s="172"/>
    </row>
    <row r="42" spans="1:11" ht="30" customHeight="1">
      <c r="A42" s="177" t="s">
        <v>219</v>
      </c>
      <c r="B42" s="170" t="s">
        <v>220</v>
      </c>
      <c r="C42" s="169" t="s">
        <v>167</v>
      </c>
      <c r="D42" s="173">
        <f>200*1.65</f>
        <v>330</v>
      </c>
      <c r="E42" s="166"/>
      <c r="F42" s="166"/>
      <c r="G42" s="172">
        <v>330</v>
      </c>
      <c r="H42" s="180"/>
      <c r="I42" s="169"/>
      <c r="J42" s="171" t="s">
        <v>72</v>
      </c>
      <c r="K42" s="172"/>
    </row>
    <row r="43" spans="1:11" ht="30" customHeight="1">
      <c r="A43" s="177" t="s">
        <v>221</v>
      </c>
      <c r="B43" s="170" t="s">
        <v>222</v>
      </c>
      <c r="C43" s="169" t="s">
        <v>167</v>
      </c>
      <c r="D43" s="173">
        <f>320*0.7</f>
        <v>224</v>
      </c>
      <c r="E43" s="166"/>
      <c r="F43" s="166"/>
      <c r="G43" s="172">
        <v>224</v>
      </c>
      <c r="H43" s="166"/>
      <c r="I43" s="166"/>
      <c r="J43" s="166" t="s">
        <v>72</v>
      </c>
      <c r="K43" s="166"/>
    </row>
    <row r="44" spans="1:11" ht="30" customHeight="1">
      <c r="A44" s="177" t="s">
        <v>223</v>
      </c>
      <c r="B44" s="170" t="s">
        <v>224</v>
      </c>
      <c r="C44" s="169" t="s">
        <v>167</v>
      </c>
      <c r="D44" s="173">
        <v>2214.4</v>
      </c>
      <c r="E44" s="166"/>
      <c r="F44" s="166"/>
      <c r="G44" s="172">
        <v>2214.4</v>
      </c>
      <c r="H44" s="166"/>
      <c r="I44" s="166"/>
      <c r="J44" s="166" t="s">
        <v>72</v>
      </c>
      <c r="K44" s="166"/>
    </row>
    <row r="45" spans="1:11" ht="30" customHeight="1">
      <c r="A45" s="177" t="s">
        <v>225</v>
      </c>
      <c r="B45" s="170" t="s">
        <v>226</v>
      </c>
      <c r="C45" s="169" t="s">
        <v>167</v>
      </c>
      <c r="D45" s="172">
        <v>1100</v>
      </c>
      <c r="E45" s="166"/>
      <c r="F45" s="166"/>
      <c r="G45" s="172">
        <v>1100</v>
      </c>
      <c r="H45" s="174"/>
      <c r="I45" s="166"/>
      <c r="J45" s="166" t="s">
        <v>72</v>
      </c>
      <c r="K45" s="166"/>
    </row>
    <row r="46" spans="1:11" ht="30" customHeight="1">
      <c r="A46" s="186" t="s">
        <v>227</v>
      </c>
      <c r="B46" s="170" t="s">
        <v>228</v>
      </c>
      <c r="C46" s="169" t="s">
        <v>167</v>
      </c>
      <c r="D46" s="172">
        <f>100/0.8</f>
        <v>125</v>
      </c>
      <c r="E46" s="166"/>
      <c r="F46" s="166"/>
      <c r="G46" s="172">
        <v>125</v>
      </c>
      <c r="H46" s="174"/>
      <c r="I46" s="166"/>
      <c r="J46" s="166" t="s">
        <v>72</v>
      </c>
      <c r="K46" s="166"/>
    </row>
    <row r="47" spans="1:11" ht="30" customHeight="1">
      <c r="A47" s="177" t="s">
        <v>229</v>
      </c>
      <c r="B47" s="170" t="s">
        <v>230</v>
      </c>
      <c r="C47" s="169" t="s">
        <v>167</v>
      </c>
      <c r="D47" s="172">
        <v>990</v>
      </c>
      <c r="E47" s="166"/>
      <c r="F47" s="166"/>
      <c r="G47" s="172">
        <v>611</v>
      </c>
      <c r="H47" s="174"/>
      <c r="I47" s="166"/>
      <c r="J47" s="166" t="s">
        <v>72</v>
      </c>
      <c r="K47" s="166"/>
    </row>
    <row r="48" spans="1:11" ht="30" customHeight="1">
      <c r="A48" s="177" t="s">
        <v>225</v>
      </c>
      <c r="B48" s="170" t="s">
        <v>226</v>
      </c>
      <c r="C48" s="169" t="s">
        <v>167</v>
      </c>
      <c r="D48" s="172">
        <v>1100</v>
      </c>
      <c r="E48" s="166"/>
      <c r="F48" s="166"/>
      <c r="G48" s="172">
        <v>1100</v>
      </c>
      <c r="H48" s="174"/>
      <c r="I48" s="166"/>
      <c r="J48" s="166" t="s">
        <v>72</v>
      </c>
      <c r="K48" s="166"/>
    </row>
    <row r="49" spans="1:11" ht="30" customHeight="1">
      <c r="A49" s="177" t="s">
        <v>231</v>
      </c>
      <c r="B49" s="187" t="s">
        <v>232</v>
      </c>
      <c r="C49" s="169" t="s">
        <v>167</v>
      </c>
      <c r="D49" s="172">
        <v>2300</v>
      </c>
      <c r="E49" s="166"/>
      <c r="F49" s="166"/>
      <c r="G49" s="172">
        <v>2300</v>
      </c>
      <c r="H49" s="174"/>
      <c r="I49" s="166"/>
      <c r="J49" s="166" t="s">
        <v>72</v>
      </c>
      <c r="K49" s="166"/>
    </row>
    <row r="50" spans="1:11" ht="30" customHeight="1">
      <c r="A50" s="177" t="s">
        <v>233</v>
      </c>
      <c r="B50" s="170" t="s">
        <v>234</v>
      </c>
      <c r="C50" s="169" t="s">
        <v>167</v>
      </c>
      <c r="D50" s="186">
        <v>996.09</v>
      </c>
      <c r="E50" s="166"/>
      <c r="F50" s="166"/>
      <c r="G50" s="172">
        <v>996.09</v>
      </c>
      <c r="H50" s="174"/>
      <c r="I50" s="166"/>
      <c r="J50" s="166" t="s">
        <v>72</v>
      </c>
      <c r="K50" s="166"/>
    </row>
    <row r="51" spans="1:11" ht="30" customHeight="1">
      <c r="A51" s="177" t="s">
        <v>231</v>
      </c>
      <c r="B51" s="188" t="s">
        <v>235</v>
      </c>
      <c r="C51" s="169" t="s">
        <v>167</v>
      </c>
      <c r="D51" s="172">
        <v>1133.77</v>
      </c>
      <c r="E51" s="166"/>
      <c r="F51" s="166"/>
      <c r="G51" s="172">
        <v>1133.77</v>
      </c>
      <c r="H51" s="174"/>
      <c r="I51" s="166"/>
      <c r="J51" s="166" t="s">
        <v>72</v>
      </c>
      <c r="K51" s="166"/>
    </row>
    <row r="52" spans="1:11" ht="30" customHeight="1">
      <c r="A52" s="169" t="s">
        <v>236</v>
      </c>
      <c r="B52" s="189" t="s">
        <v>237</v>
      </c>
      <c r="C52" s="169" t="s">
        <v>238</v>
      </c>
      <c r="D52" s="172">
        <v>7050</v>
      </c>
      <c r="E52" s="166"/>
      <c r="F52" s="166"/>
      <c r="G52" s="172">
        <v>5876.88</v>
      </c>
      <c r="H52" s="174"/>
      <c r="I52" s="166"/>
      <c r="J52" s="166" t="s">
        <v>72</v>
      </c>
      <c r="K52" s="166"/>
    </row>
    <row r="53" spans="1:11" ht="30" customHeight="1">
      <c r="A53" s="169" t="s">
        <v>239</v>
      </c>
      <c r="B53" s="170" t="s">
        <v>240</v>
      </c>
      <c r="C53" s="169" t="s">
        <v>167</v>
      </c>
      <c r="D53" s="172">
        <f>100*0.8+20</f>
        <v>100</v>
      </c>
      <c r="E53" s="166"/>
      <c r="F53" s="166"/>
      <c r="G53" s="172">
        <v>100</v>
      </c>
      <c r="H53" s="174"/>
      <c r="I53" s="166"/>
      <c r="J53" s="166" t="s">
        <v>72</v>
      </c>
      <c r="K53" s="166"/>
    </row>
    <row r="54" spans="1:11" ht="30" customHeight="1">
      <c r="A54" s="177" t="s">
        <v>225</v>
      </c>
      <c r="B54" s="170" t="s">
        <v>226</v>
      </c>
      <c r="C54" s="169" t="s">
        <v>167</v>
      </c>
      <c r="D54" s="186">
        <v>1100</v>
      </c>
      <c r="E54" s="166"/>
      <c r="F54" s="166"/>
      <c r="G54" s="172">
        <v>1100</v>
      </c>
      <c r="H54" s="180"/>
      <c r="I54" s="169"/>
      <c r="J54" s="171" t="s">
        <v>72</v>
      </c>
      <c r="K54" s="172"/>
    </row>
    <row r="55" spans="1:11" ht="30" customHeight="1">
      <c r="A55" s="177" t="s">
        <v>241</v>
      </c>
      <c r="B55" s="170" t="s">
        <v>242</v>
      </c>
      <c r="C55" s="169" t="s">
        <v>167</v>
      </c>
      <c r="D55" s="186">
        <v>245</v>
      </c>
      <c r="E55" s="166"/>
      <c r="F55" s="166"/>
      <c r="G55" s="172">
        <v>245</v>
      </c>
      <c r="H55" s="180"/>
      <c r="I55" s="169"/>
      <c r="J55" s="171" t="s">
        <v>72</v>
      </c>
      <c r="K55" s="172"/>
    </row>
    <row r="56" spans="1:11" ht="30" customHeight="1">
      <c r="A56" s="169" t="s">
        <v>243</v>
      </c>
      <c r="B56" s="170" t="s">
        <v>244</v>
      </c>
      <c r="C56" s="169" t="s">
        <v>167</v>
      </c>
      <c r="D56" s="186">
        <v>500</v>
      </c>
      <c r="E56" s="166"/>
      <c r="F56" s="166"/>
      <c r="G56" s="172">
        <v>500</v>
      </c>
      <c r="H56" s="180"/>
      <c r="I56" s="169"/>
      <c r="J56" s="171" t="s">
        <v>72</v>
      </c>
      <c r="K56" s="172"/>
    </row>
    <row r="57" spans="1:11" ht="30" customHeight="1">
      <c r="A57" s="169" t="s">
        <v>245</v>
      </c>
      <c r="B57" s="170" t="s">
        <v>246</v>
      </c>
      <c r="C57" s="169" t="s">
        <v>167</v>
      </c>
      <c r="D57" s="186">
        <v>134.94</v>
      </c>
      <c r="E57" s="166"/>
      <c r="F57" s="166"/>
      <c r="G57" s="172">
        <v>134.94</v>
      </c>
      <c r="H57" s="180"/>
      <c r="I57" s="169"/>
      <c r="J57" s="171" t="s">
        <v>72</v>
      </c>
      <c r="K57" s="172"/>
    </row>
    <row r="58" spans="1:11" ht="30" customHeight="1">
      <c r="A58" s="169" t="s">
        <v>247</v>
      </c>
      <c r="B58" s="170" t="s">
        <v>248</v>
      </c>
      <c r="C58" s="169" t="s">
        <v>162</v>
      </c>
      <c r="D58" s="186">
        <v>305</v>
      </c>
      <c r="E58" s="166"/>
      <c r="F58" s="166"/>
      <c r="G58" s="172">
        <v>305</v>
      </c>
      <c r="H58" s="166"/>
      <c r="I58" s="166"/>
      <c r="J58" s="166" t="s">
        <v>72</v>
      </c>
      <c r="K58" s="166"/>
    </row>
    <row r="59" spans="1:11" ht="30" customHeight="1">
      <c r="A59" s="169" t="s">
        <v>249</v>
      </c>
      <c r="B59" s="190" t="s">
        <v>250</v>
      </c>
      <c r="C59" s="191" t="s">
        <v>148</v>
      </c>
      <c r="D59" s="186">
        <v>2469.65</v>
      </c>
      <c r="E59" s="166"/>
      <c r="F59" s="166"/>
      <c r="G59" s="172">
        <v>2469.65</v>
      </c>
      <c r="H59" s="166"/>
      <c r="I59" s="166"/>
      <c r="J59" s="166" t="s">
        <v>72</v>
      </c>
      <c r="K59" s="166"/>
    </row>
    <row r="60" spans="1:11" ht="30" customHeight="1">
      <c r="A60" s="169" t="s">
        <v>249</v>
      </c>
      <c r="B60" s="190" t="s">
        <v>251</v>
      </c>
      <c r="C60" s="191"/>
      <c r="D60" s="186">
        <v>1179.8999999999999</v>
      </c>
      <c r="E60" s="166"/>
      <c r="F60" s="166"/>
      <c r="G60" s="172">
        <v>1179.8999999999999</v>
      </c>
      <c r="H60" s="174"/>
      <c r="I60" s="166"/>
      <c r="J60" s="166" t="s">
        <v>72</v>
      </c>
      <c r="K60" s="166"/>
    </row>
    <row r="61" spans="1:11" ht="30" customHeight="1">
      <c r="A61" s="169" t="s">
        <v>252</v>
      </c>
      <c r="B61" s="190" t="s">
        <v>253</v>
      </c>
      <c r="C61" s="169" t="s">
        <v>162</v>
      </c>
      <c r="D61" s="186">
        <f>1628+1496+500</f>
        <v>3624</v>
      </c>
      <c r="E61" s="166"/>
      <c r="F61" s="166"/>
      <c r="G61" s="172">
        <v>3624</v>
      </c>
      <c r="H61" s="174"/>
      <c r="I61" s="166"/>
      <c r="J61" s="166" t="s">
        <v>72</v>
      </c>
      <c r="K61" s="166"/>
    </row>
    <row r="62" spans="1:11" ht="30" customHeight="1">
      <c r="A62" s="169" t="s">
        <v>254</v>
      </c>
      <c r="B62" s="190" t="s">
        <v>255</v>
      </c>
      <c r="C62" s="169" t="s">
        <v>162</v>
      </c>
      <c r="D62" s="186">
        <v>595</v>
      </c>
      <c r="E62" s="166"/>
      <c r="F62" s="166"/>
      <c r="G62" s="172">
        <v>595</v>
      </c>
      <c r="H62" s="174"/>
      <c r="I62" s="166"/>
      <c r="J62" s="166" t="s">
        <v>72</v>
      </c>
      <c r="K62" s="166"/>
    </row>
    <row r="63" spans="1:11" ht="30" customHeight="1">
      <c r="A63" s="169" t="s">
        <v>254</v>
      </c>
      <c r="B63" s="183" t="s">
        <v>256</v>
      </c>
      <c r="C63" s="169" t="s">
        <v>162</v>
      </c>
      <c r="D63" s="186">
        <v>124.8</v>
      </c>
      <c r="E63" s="166"/>
      <c r="F63" s="166"/>
      <c r="G63" s="172">
        <v>124.8</v>
      </c>
      <c r="H63" s="174"/>
      <c r="I63" s="166"/>
      <c r="J63" s="166" t="s">
        <v>72</v>
      </c>
      <c r="K63" s="166"/>
    </row>
    <row r="64" spans="1:11" ht="30" customHeight="1">
      <c r="A64" s="169" t="s">
        <v>254</v>
      </c>
      <c r="B64" s="183" t="s">
        <v>257</v>
      </c>
      <c r="C64" s="169" t="s">
        <v>162</v>
      </c>
      <c r="D64" s="186">
        <v>27.9</v>
      </c>
      <c r="E64" s="166"/>
      <c r="F64" s="166"/>
      <c r="G64" s="172">
        <v>27.9</v>
      </c>
      <c r="H64" s="174"/>
      <c r="I64" s="166"/>
      <c r="J64" s="166" t="s">
        <v>72</v>
      </c>
      <c r="K64" s="166"/>
    </row>
    <row r="65" spans="1:11" ht="30" customHeight="1">
      <c r="A65" s="169" t="s">
        <v>258</v>
      </c>
      <c r="B65" s="183" t="s">
        <v>259</v>
      </c>
      <c r="C65" s="169" t="s">
        <v>162</v>
      </c>
      <c r="D65" s="186">
        <v>1605</v>
      </c>
      <c r="E65" s="166"/>
      <c r="F65" s="166"/>
      <c r="G65" s="172">
        <v>1003.26</v>
      </c>
      <c r="H65" s="174"/>
      <c r="I65" s="166"/>
      <c r="J65" s="166" t="s">
        <v>72</v>
      </c>
      <c r="K65" s="166"/>
    </row>
    <row r="66" spans="1:11" ht="30" customHeight="1">
      <c r="A66" s="169" t="s">
        <v>260</v>
      </c>
      <c r="B66" s="183" t="s">
        <v>261</v>
      </c>
      <c r="C66" s="169" t="s">
        <v>262</v>
      </c>
      <c r="D66" s="186">
        <v>40</v>
      </c>
      <c r="E66" s="166"/>
      <c r="F66" s="166"/>
      <c r="G66" s="172">
        <v>40</v>
      </c>
      <c r="H66" s="174"/>
      <c r="I66" s="166"/>
      <c r="J66" s="166" t="s">
        <v>72</v>
      </c>
      <c r="K66" s="166"/>
    </row>
    <row r="67" spans="1:11" ht="30" customHeight="1">
      <c r="A67" s="192" t="s">
        <v>263</v>
      </c>
      <c r="B67" s="182" t="s">
        <v>264</v>
      </c>
      <c r="C67" s="169" t="s">
        <v>167</v>
      </c>
      <c r="D67" s="186">
        <v>600</v>
      </c>
      <c r="E67" s="166"/>
      <c r="F67" s="166"/>
      <c r="G67" s="172">
        <v>600</v>
      </c>
      <c r="H67" s="174"/>
      <c r="I67" s="166"/>
      <c r="J67" s="166" t="s">
        <v>72</v>
      </c>
      <c r="K67" s="166"/>
    </row>
    <row r="68" spans="1:11" ht="30" customHeight="1">
      <c r="A68" s="193" t="s">
        <v>265</v>
      </c>
      <c r="B68" s="194"/>
      <c r="C68" s="195"/>
      <c r="D68" s="196">
        <f>SUM(D5:D67)</f>
        <v>151742.49999999997</v>
      </c>
      <c r="E68" s="193"/>
      <c r="F68" s="195"/>
      <c r="G68" s="196">
        <f>SUM(G5:G67)</f>
        <v>144619.95999999996</v>
      </c>
      <c r="H68" s="197"/>
      <c r="I68" s="198"/>
      <c r="J68" s="198"/>
      <c r="K68" s="199"/>
    </row>
    <row r="69" spans="1:11" ht="30" customHeight="1">
      <c r="A69" s="180" t="s">
        <v>266</v>
      </c>
      <c r="B69" s="170" t="s">
        <v>267</v>
      </c>
      <c r="C69" s="171" t="s">
        <v>180</v>
      </c>
      <c r="D69" s="172">
        <v>199358.44</v>
      </c>
      <c r="E69" s="166"/>
      <c r="F69" s="166"/>
      <c r="G69" s="172">
        <v>15332.79</v>
      </c>
      <c r="H69" s="180"/>
      <c r="I69" s="169"/>
      <c r="J69" s="171" t="s">
        <v>268</v>
      </c>
      <c r="K69" s="172"/>
    </row>
    <row r="70" spans="1:11" ht="30" customHeight="1">
      <c r="A70" s="180" t="s">
        <v>269</v>
      </c>
      <c r="B70" s="170" t="s">
        <v>270</v>
      </c>
      <c r="C70" s="200" t="s">
        <v>271</v>
      </c>
      <c r="D70" s="172">
        <f>4537.63</f>
        <v>4537.63</v>
      </c>
      <c r="E70" s="166"/>
      <c r="F70" s="166"/>
      <c r="G70" s="172">
        <v>1882.81</v>
      </c>
      <c r="H70" s="180"/>
      <c r="I70" s="169"/>
      <c r="J70" s="171" t="s">
        <v>268</v>
      </c>
      <c r="K70" s="172"/>
    </row>
    <row r="71" spans="1:11" ht="30" customHeight="1">
      <c r="A71" s="180" t="s">
        <v>269</v>
      </c>
      <c r="B71" s="170" t="s">
        <v>272</v>
      </c>
      <c r="C71" s="201"/>
      <c r="D71" s="172">
        <f>2475.8+1578.42</f>
        <v>4054.2200000000003</v>
      </c>
      <c r="E71" s="166"/>
      <c r="F71" s="166"/>
      <c r="G71" s="172">
        <v>1365.25</v>
      </c>
      <c r="H71" s="180"/>
      <c r="I71" s="169"/>
      <c r="J71" s="171" t="s">
        <v>268</v>
      </c>
      <c r="K71" s="172"/>
    </row>
    <row r="72" spans="1:11" ht="30" customHeight="1">
      <c r="A72" s="180" t="s">
        <v>273</v>
      </c>
      <c r="B72" s="170" t="s">
        <v>274</v>
      </c>
      <c r="C72" s="200" t="s">
        <v>151</v>
      </c>
      <c r="D72" s="202">
        <f>3190+992+1910</f>
        <v>6092</v>
      </c>
      <c r="E72" s="166"/>
      <c r="F72" s="166"/>
      <c r="G72" s="202">
        <f>3190+992+1910</f>
        <v>6092</v>
      </c>
      <c r="H72" s="180"/>
      <c r="I72" s="169"/>
      <c r="J72" s="171" t="s">
        <v>268</v>
      </c>
      <c r="K72" s="172"/>
    </row>
    <row r="73" spans="1:11" ht="30" customHeight="1">
      <c r="A73" s="180" t="s">
        <v>275</v>
      </c>
      <c r="B73" s="170" t="s">
        <v>276</v>
      </c>
      <c r="C73" s="203"/>
      <c r="D73" s="202">
        <v>2516.04</v>
      </c>
      <c r="E73" s="166"/>
      <c r="F73" s="166"/>
      <c r="G73" s="202">
        <v>2516.04</v>
      </c>
      <c r="H73" s="180"/>
      <c r="I73" s="169"/>
      <c r="J73" s="171" t="s">
        <v>268</v>
      </c>
      <c r="K73" s="172"/>
    </row>
    <row r="74" spans="1:11" ht="30" customHeight="1">
      <c r="A74" s="180" t="s">
        <v>277</v>
      </c>
      <c r="B74" s="170" t="s">
        <v>278</v>
      </c>
      <c r="C74" s="203"/>
      <c r="D74" s="202">
        <f>20.5*3</f>
        <v>61.5</v>
      </c>
      <c r="E74" s="166"/>
      <c r="F74" s="166"/>
      <c r="G74" s="202">
        <f>20.5*3</f>
        <v>61.5</v>
      </c>
      <c r="H74" s="180"/>
      <c r="I74" s="169"/>
      <c r="J74" s="171" t="s">
        <v>268</v>
      </c>
      <c r="K74" s="172"/>
    </row>
    <row r="75" spans="1:11" ht="30" customHeight="1">
      <c r="A75" s="180" t="s">
        <v>279</v>
      </c>
      <c r="B75" s="170" t="s">
        <v>280</v>
      </c>
      <c r="C75" s="203"/>
      <c r="D75" s="202">
        <f>3*(18.8+16.3)</f>
        <v>105.30000000000001</v>
      </c>
      <c r="E75" s="166"/>
      <c r="F75" s="166"/>
      <c r="G75" s="202">
        <f>3*(18.8+16.3)</f>
        <v>105.30000000000001</v>
      </c>
      <c r="H75" s="180"/>
      <c r="I75" s="169"/>
      <c r="J75" s="171" t="s">
        <v>268</v>
      </c>
      <c r="K75" s="172"/>
    </row>
    <row r="76" spans="1:11" ht="30" customHeight="1">
      <c r="A76" s="180" t="s">
        <v>281</v>
      </c>
      <c r="B76" s="170" t="s">
        <v>282</v>
      </c>
      <c r="C76" s="203"/>
      <c r="D76" s="202">
        <f>3*(27.95+4.9)</f>
        <v>98.55000000000001</v>
      </c>
      <c r="E76" s="166"/>
      <c r="F76" s="166"/>
      <c r="G76" s="202">
        <f>3*(27.95+4.9)</f>
        <v>98.55000000000001</v>
      </c>
      <c r="H76" s="180"/>
      <c r="I76" s="169"/>
      <c r="J76" s="171" t="s">
        <v>268</v>
      </c>
      <c r="K76" s="172"/>
    </row>
    <row r="77" spans="1:11" ht="30" customHeight="1">
      <c r="A77" s="180" t="s">
        <v>277</v>
      </c>
      <c r="B77" s="170" t="s">
        <v>278</v>
      </c>
      <c r="C77" s="203"/>
      <c r="D77" s="202">
        <f>2*20.5</f>
        <v>41</v>
      </c>
      <c r="E77" s="166"/>
      <c r="F77" s="166"/>
      <c r="G77" s="202">
        <f>2*20.5</f>
        <v>41</v>
      </c>
      <c r="H77" s="180"/>
      <c r="I77" s="169"/>
      <c r="J77" s="171" t="s">
        <v>268</v>
      </c>
      <c r="K77" s="172"/>
    </row>
    <row r="78" spans="1:11" ht="30" customHeight="1">
      <c r="A78" s="180" t="s">
        <v>279</v>
      </c>
      <c r="B78" s="170" t="s">
        <v>280</v>
      </c>
      <c r="C78" s="203"/>
      <c r="D78" s="202">
        <f>2*(18.8+16.3)</f>
        <v>70.2</v>
      </c>
      <c r="E78" s="166"/>
      <c r="F78" s="166"/>
      <c r="G78" s="202">
        <f>2*(18.8+16.3)</f>
        <v>70.2</v>
      </c>
      <c r="H78" s="180"/>
      <c r="I78" s="169"/>
      <c r="J78" s="171" t="s">
        <v>268</v>
      </c>
      <c r="K78" s="172"/>
    </row>
    <row r="79" spans="1:11" ht="30" customHeight="1">
      <c r="A79" s="180" t="s">
        <v>281</v>
      </c>
      <c r="B79" s="170" t="s">
        <v>282</v>
      </c>
      <c r="C79" s="203"/>
      <c r="D79" s="202">
        <f>2*(27.95+4.9)</f>
        <v>65.7</v>
      </c>
      <c r="E79" s="166"/>
      <c r="F79" s="166"/>
      <c r="G79" s="202">
        <f>2*(27.95+4.9)</f>
        <v>65.7</v>
      </c>
      <c r="H79" s="180"/>
      <c r="I79" s="169"/>
      <c r="J79" s="171" t="s">
        <v>268</v>
      </c>
      <c r="K79" s="172"/>
    </row>
    <row r="80" spans="1:11" ht="30" customHeight="1">
      <c r="A80" s="180" t="s">
        <v>283</v>
      </c>
      <c r="B80" s="170" t="s">
        <v>284</v>
      </c>
      <c r="C80" s="203"/>
      <c r="D80" s="202">
        <f>25*(7+4.5+4+12)</f>
        <v>687.5</v>
      </c>
      <c r="E80" s="166"/>
      <c r="F80" s="166"/>
      <c r="G80" s="202">
        <f>25*(7+4.5+4+12)</f>
        <v>687.5</v>
      </c>
      <c r="H80" s="180"/>
      <c r="I80" s="169"/>
      <c r="J80" s="171" t="s">
        <v>268</v>
      </c>
      <c r="K80" s="172"/>
    </row>
    <row r="81" spans="1:11" ht="30" customHeight="1">
      <c r="A81" s="171" t="s">
        <v>277</v>
      </c>
      <c r="B81" s="170" t="s">
        <v>285</v>
      </c>
      <c r="C81" s="203"/>
      <c r="D81" s="202">
        <v>321</v>
      </c>
      <c r="E81" s="166"/>
      <c r="F81" s="166"/>
      <c r="G81" s="202">
        <v>321</v>
      </c>
      <c r="H81" s="180"/>
      <c r="I81" s="169"/>
      <c r="J81" s="171"/>
      <c r="K81" s="172"/>
    </row>
    <row r="82" spans="1:11" ht="30" customHeight="1">
      <c r="A82" s="171" t="s">
        <v>286</v>
      </c>
      <c r="B82" s="170" t="s">
        <v>287</v>
      </c>
      <c r="C82" s="203"/>
      <c r="D82" s="202">
        <v>330</v>
      </c>
      <c r="E82" s="166"/>
      <c r="F82" s="166"/>
      <c r="G82" s="202">
        <v>330</v>
      </c>
      <c r="H82" s="180"/>
      <c r="I82" s="169"/>
      <c r="J82" s="171"/>
      <c r="K82" s="172"/>
    </row>
    <row r="83" spans="1:11" ht="30" customHeight="1">
      <c r="A83" s="171" t="s">
        <v>288</v>
      </c>
      <c r="B83" s="170" t="s">
        <v>289</v>
      </c>
      <c r="C83" s="203"/>
      <c r="D83" s="202">
        <v>708</v>
      </c>
      <c r="E83" s="166"/>
      <c r="F83" s="166"/>
      <c r="G83" s="202">
        <v>708</v>
      </c>
      <c r="H83" s="180"/>
      <c r="I83" s="169"/>
      <c r="J83" s="171"/>
      <c r="K83" s="172"/>
    </row>
    <row r="84" spans="1:11" ht="30" customHeight="1">
      <c r="A84" s="171" t="s">
        <v>290</v>
      </c>
      <c r="B84" s="170" t="s">
        <v>291</v>
      </c>
      <c r="C84" s="203"/>
      <c r="D84" s="202">
        <v>207</v>
      </c>
      <c r="E84" s="166"/>
      <c r="F84" s="166"/>
      <c r="G84" s="202">
        <v>207</v>
      </c>
      <c r="H84" s="180"/>
      <c r="I84" s="169"/>
      <c r="J84" s="171"/>
      <c r="K84" s="172"/>
    </row>
    <row r="85" spans="1:11" ht="30" customHeight="1">
      <c r="A85" s="171" t="s">
        <v>292</v>
      </c>
      <c r="B85" s="170" t="s">
        <v>293</v>
      </c>
      <c r="C85" s="203"/>
      <c r="D85" s="202">
        <v>3800</v>
      </c>
      <c r="E85" s="166"/>
      <c r="F85" s="166"/>
      <c r="G85" s="202">
        <v>3800</v>
      </c>
      <c r="H85" s="180"/>
      <c r="I85" s="169"/>
      <c r="J85" s="171"/>
      <c r="K85" s="172"/>
    </row>
    <row r="86" spans="1:11" ht="30" customHeight="1">
      <c r="A86" s="171" t="s">
        <v>283</v>
      </c>
      <c r="B86" s="170" t="s">
        <v>294</v>
      </c>
      <c r="C86" s="203"/>
      <c r="D86" s="202">
        <v>124</v>
      </c>
      <c r="E86" s="166"/>
      <c r="F86" s="166"/>
      <c r="G86" s="202">
        <v>124</v>
      </c>
      <c r="H86" s="180"/>
      <c r="I86" s="169"/>
      <c r="J86" s="171"/>
      <c r="K86" s="172"/>
    </row>
    <row r="87" spans="1:11" ht="30" customHeight="1">
      <c r="A87" s="171" t="s">
        <v>295</v>
      </c>
      <c r="B87" s="170" t="s">
        <v>296</v>
      </c>
      <c r="C87" s="201"/>
      <c r="D87" s="202">
        <f>750*0.8+150</f>
        <v>750</v>
      </c>
      <c r="E87" s="166"/>
      <c r="F87" s="166"/>
      <c r="G87" s="202">
        <f>750*0.8+150</f>
        <v>750</v>
      </c>
      <c r="H87" s="180"/>
      <c r="I87" s="169"/>
      <c r="J87" s="171"/>
      <c r="K87" s="172"/>
    </row>
    <row r="88" spans="1:11" ht="30" customHeight="1">
      <c r="A88" s="180" t="s">
        <v>297</v>
      </c>
      <c r="B88" s="170" t="s">
        <v>298</v>
      </c>
      <c r="C88" s="171" t="s">
        <v>299</v>
      </c>
      <c r="D88" s="204">
        <v>3037.5</v>
      </c>
      <c r="E88" s="166"/>
      <c r="F88" s="166"/>
      <c r="G88" s="205">
        <v>3037.5000000000005</v>
      </c>
      <c r="H88" s="180"/>
      <c r="I88" s="169"/>
      <c r="J88" s="171" t="s">
        <v>268</v>
      </c>
      <c r="K88" s="172" t="s">
        <v>300</v>
      </c>
    </row>
    <row r="89" spans="1:11" ht="30" customHeight="1">
      <c r="A89" s="180" t="s">
        <v>301</v>
      </c>
      <c r="B89" s="170" t="s">
        <v>302</v>
      </c>
      <c r="C89" s="171" t="s">
        <v>299</v>
      </c>
      <c r="D89" s="172">
        <f>452.6+1839.6+1065.8+660.65+766.5+631.45</f>
        <v>5416.599999999999</v>
      </c>
      <c r="E89" s="166"/>
      <c r="F89" s="166"/>
      <c r="G89" s="205">
        <v>5416.599999999999</v>
      </c>
      <c r="H89" s="180"/>
      <c r="I89" s="169"/>
      <c r="J89" s="171" t="s">
        <v>268</v>
      </c>
      <c r="K89" s="172" t="s">
        <v>300</v>
      </c>
    </row>
    <row r="90" spans="1:11" ht="30" customHeight="1">
      <c r="A90" s="180" t="s">
        <v>303</v>
      </c>
      <c r="B90" s="170" t="s">
        <v>304</v>
      </c>
      <c r="C90" s="171" t="s">
        <v>299</v>
      </c>
      <c r="D90" s="172">
        <v>36204.5</v>
      </c>
      <c r="E90" s="166"/>
      <c r="F90" s="166"/>
      <c r="G90" s="205">
        <v>26025.42</v>
      </c>
      <c r="H90" s="180"/>
      <c r="I90" s="169"/>
      <c r="J90" s="171" t="s">
        <v>268</v>
      </c>
      <c r="K90" s="172" t="s">
        <v>300</v>
      </c>
    </row>
    <row r="91" spans="1:11" ht="30" customHeight="1">
      <c r="A91" s="180" t="s">
        <v>305</v>
      </c>
      <c r="B91" s="170" t="s">
        <v>306</v>
      </c>
      <c r="C91" s="171" t="s">
        <v>307</v>
      </c>
      <c r="D91" s="204">
        <f>2000*9.28</f>
        <v>18560</v>
      </c>
      <c r="E91" s="166"/>
      <c r="F91" s="166"/>
      <c r="G91" s="205">
        <v>4315.79</v>
      </c>
      <c r="H91" s="180"/>
      <c r="I91" s="169"/>
      <c r="J91" s="171" t="s">
        <v>268</v>
      </c>
      <c r="K91" s="172"/>
    </row>
    <row r="92" spans="1:11" ht="30" customHeight="1">
      <c r="A92" s="180" t="s">
        <v>283</v>
      </c>
      <c r="B92" s="170" t="s">
        <v>308</v>
      </c>
      <c r="C92" s="171" t="s">
        <v>307</v>
      </c>
      <c r="D92" s="172">
        <f>10000*0.39</f>
        <v>3900</v>
      </c>
      <c r="E92" s="166"/>
      <c r="F92" s="166"/>
      <c r="G92" s="205">
        <v>2776.02</v>
      </c>
      <c r="H92" s="180"/>
      <c r="I92" s="169"/>
      <c r="J92" s="171" t="s">
        <v>268</v>
      </c>
      <c r="K92" s="172"/>
    </row>
    <row r="93" spans="1:11" ht="30" customHeight="1">
      <c r="A93" s="180" t="s">
        <v>309</v>
      </c>
      <c r="B93" s="170" t="s">
        <v>310</v>
      </c>
      <c r="C93" s="171" t="s">
        <v>307</v>
      </c>
      <c r="D93" s="204">
        <v>8911</v>
      </c>
      <c r="E93" s="166"/>
      <c r="F93" s="166"/>
      <c r="G93" s="205">
        <v>8911</v>
      </c>
      <c r="H93" s="180"/>
      <c r="I93" s="169"/>
      <c r="J93" s="171" t="s">
        <v>268</v>
      </c>
      <c r="K93" s="172"/>
    </row>
    <row r="94" spans="1:11" ht="30" customHeight="1">
      <c r="A94" s="180" t="s">
        <v>311</v>
      </c>
      <c r="B94" s="170" t="s">
        <v>312</v>
      </c>
      <c r="C94" s="171" t="s">
        <v>313</v>
      </c>
      <c r="D94" s="172">
        <f>833.33*12+0.04</f>
        <v>10000.000000000002</v>
      </c>
      <c r="E94" s="166"/>
      <c r="F94" s="166"/>
      <c r="G94" s="205">
        <v>10000.000000000002</v>
      </c>
      <c r="H94" s="180"/>
      <c r="I94" s="169"/>
      <c r="J94" s="171" t="s">
        <v>268</v>
      </c>
      <c r="K94" s="172"/>
    </row>
    <row r="95" spans="1:11" ht="30" customHeight="1">
      <c r="A95" s="206" t="s">
        <v>314</v>
      </c>
      <c r="B95" s="170" t="s">
        <v>315</v>
      </c>
      <c r="C95" s="171" t="s">
        <v>316</v>
      </c>
      <c r="D95" s="172">
        <v>66984</v>
      </c>
      <c r="E95" s="166"/>
      <c r="F95" s="166"/>
      <c r="G95" s="205">
        <v>66984</v>
      </c>
      <c r="H95" s="180"/>
      <c r="I95" s="169"/>
      <c r="J95" s="171" t="s">
        <v>268</v>
      </c>
      <c r="K95" s="172"/>
    </row>
    <row r="96" spans="1:11" ht="30" customHeight="1">
      <c r="A96" s="180" t="s">
        <v>155</v>
      </c>
      <c r="B96" s="170" t="s">
        <v>317</v>
      </c>
      <c r="C96" s="171" t="s">
        <v>318</v>
      </c>
      <c r="D96" s="172">
        <v>4998</v>
      </c>
      <c r="E96" s="166"/>
      <c r="F96" s="166"/>
      <c r="G96" s="205">
        <v>4998</v>
      </c>
      <c r="H96" s="180"/>
      <c r="I96" s="169"/>
      <c r="J96" s="171" t="s">
        <v>268</v>
      </c>
      <c r="K96" s="172"/>
    </row>
    <row r="97" spans="1:11" ht="30" customHeight="1">
      <c r="A97" s="180" t="s">
        <v>319</v>
      </c>
      <c r="B97" s="170" t="s">
        <v>320</v>
      </c>
      <c r="C97" s="171" t="s">
        <v>197</v>
      </c>
      <c r="D97" s="175">
        <v>3000</v>
      </c>
      <c r="E97" s="166"/>
      <c r="F97" s="166"/>
      <c r="G97" s="205">
        <v>2300</v>
      </c>
      <c r="H97" s="180"/>
      <c r="I97" s="169"/>
      <c r="J97" s="171" t="s">
        <v>268</v>
      </c>
      <c r="K97" s="172"/>
    </row>
    <row r="98" spans="1:11" ht="30" customHeight="1">
      <c r="A98" s="180" t="s">
        <v>321</v>
      </c>
      <c r="B98" s="170" t="s">
        <v>322</v>
      </c>
      <c r="C98" s="171" t="s">
        <v>162</v>
      </c>
      <c r="D98" s="207">
        <v>2500</v>
      </c>
      <c r="E98" s="166"/>
      <c r="F98" s="166"/>
      <c r="G98" s="205">
        <v>70</v>
      </c>
      <c r="H98" s="180"/>
      <c r="I98" s="169"/>
      <c r="J98" s="171" t="s">
        <v>268</v>
      </c>
      <c r="K98" s="172"/>
    </row>
    <row r="99" spans="1:11" ht="30" customHeight="1">
      <c r="A99" s="180" t="s">
        <v>323</v>
      </c>
      <c r="B99" s="170" t="s">
        <v>324</v>
      </c>
      <c r="C99" s="171" t="s">
        <v>162</v>
      </c>
      <c r="D99" s="207">
        <f>50*15+150*12</f>
        <v>2550</v>
      </c>
      <c r="E99" s="166"/>
      <c r="F99" s="166"/>
      <c r="G99" s="205">
        <v>1626</v>
      </c>
      <c r="H99" s="180"/>
      <c r="I99" s="169"/>
      <c r="J99" s="171" t="s">
        <v>268</v>
      </c>
      <c r="K99" s="172"/>
    </row>
    <row r="100" spans="1:11" ht="30" customHeight="1">
      <c r="A100" s="180" t="s">
        <v>325</v>
      </c>
      <c r="B100" s="170" t="s">
        <v>326</v>
      </c>
      <c r="C100" s="171" t="s">
        <v>162</v>
      </c>
      <c r="D100" s="207">
        <f>20000*0.245</f>
        <v>4900</v>
      </c>
      <c r="E100" s="166"/>
      <c r="F100" s="166"/>
      <c r="G100" s="205">
        <v>4900</v>
      </c>
      <c r="H100" s="180"/>
      <c r="I100" s="169"/>
      <c r="J100" s="171" t="s">
        <v>268</v>
      </c>
      <c r="K100" s="172"/>
    </row>
    <row r="101" spans="1:11" ht="30" customHeight="1">
      <c r="A101" s="180" t="s">
        <v>327</v>
      </c>
      <c r="B101" s="170" t="s">
        <v>328</v>
      </c>
      <c r="C101" s="171" t="s">
        <v>148</v>
      </c>
      <c r="D101" s="172">
        <f>15000*1.48+5000</f>
        <v>27200</v>
      </c>
      <c r="E101" s="166"/>
      <c r="F101" s="166"/>
      <c r="G101" s="208">
        <v>24252.4476</v>
      </c>
      <c r="H101" s="180"/>
      <c r="I101" s="169"/>
      <c r="J101" s="171" t="s">
        <v>268</v>
      </c>
      <c r="K101" s="172"/>
    </row>
    <row r="102" spans="1:11" ht="30" customHeight="1">
      <c r="A102" s="180" t="s">
        <v>327</v>
      </c>
      <c r="B102" s="170" t="s">
        <v>329</v>
      </c>
      <c r="C102" s="171" t="s">
        <v>148</v>
      </c>
      <c r="D102" s="207">
        <f>15000*1.43</f>
        <v>21450</v>
      </c>
      <c r="E102" s="166"/>
      <c r="F102" s="166"/>
      <c r="G102" s="209">
        <v>18952.0544</v>
      </c>
      <c r="H102" s="180"/>
      <c r="I102" s="169"/>
      <c r="J102" s="171" t="s">
        <v>268</v>
      </c>
      <c r="K102" s="172"/>
    </row>
    <row r="103" spans="1:11" ht="30" customHeight="1">
      <c r="A103" s="180" t="s">
        <v>330</v>
      </c>
      <c r="B103" s="170" t="s">
        <v>331</v>
      </c>
      <c r="C103" s="171" t="s">
        <v>162</v>
      </c>
      <c r="D103" s="207">
        <f>2*50</f>
        <v>100</v>
      </c>
      <c r="E103" s="166"/>
      <c r="F103" s="166"/>
      <c r="G103" s="205">
        <v>100</v>
      </c>
      <c r="H103" s="180"/>
      <c r="I103" s="169"/>
      <c r="J103" s="171" t="s">
        <v>268</v>
      </c>
      <c r="K103" s="172"/>
    </row>
    <row r="104" spans="1:11" ht="30" customHeight="1">
      <c r="A104" s="181" t="s">
        <v>309</v>
      </c>
      <c r="B104" s="170" t="s">
        <v>310</v>
      </c>
      <c r="C104" s="171" t="s">
        <v>307</v>
      </c>
      <c r="D104" s="204">
        <v>3624</v>
      </c>
      <c r="E104" s="166"/>
      <c r="F104" s="166"/>
      <c r="G104" s="205">
        <v>3624</v>
      </c>
      <c r="H104" s="180"/>
      <c r="I104" s="169"/>
      <c r="J104" s="171" t="s">
        <v>268</v>
      </c>
      <c r="K104" s="172"/>
    </row>
    <row r="105" spans="1:11" ht="30" customHeight="1">
      <c r="A105" s="180" t="s">
        <v>332</v>
      </c>
      <c r="B105" s="170" t="s">
        <v>333</v>
      </c>
      <c r="C105" s="171" t="s">
        <v>307</v>
      </c>
      <c r="D105" s="204">
        <v>8399.5</v>
      </c>
      <c r="E105" s="166"/>
      <c r="F105" s="166"/>
      <c r="G105" s="205">
        <v>5593.42</v>
      </c>
      <c r="H105" s="180"/>
      <c r="I105" s="169"/>
      <c r="J105" s="171" t="s">
        <v>268</v>
      </c>
      <c r="K105" s="172"/>
    </row>
    <row r="106" spans="1:11" ht="30" customHeight="1">
      <c r="A106" s="180" t="s">
        <v>334</v>
      </c>
      <c r="B106" s="170" t="s">
        <v>335</v>
      </c>
      <c r="C106" s="171" t="s">
        <v>307</v>
      </c>
      <c r="D106" s="204">
        <v>7800.75</v>
      </c>
      <c r="E106" s="166"/>
      <c r="F106" s="166"/>
      <c r="G106" s="205">
        <v>7800.75</v>
      </c>
      <c r="H106" s="180"/>
      <c r="I106" s="169"/>
      <c r="J106" s="171" t="s">
        <v>268</v>
      </c>
      <c r="K106" s="172"/>
    </row>
    <row r="107" spans="1:11" ht="30" customHeight="1">
      <c r="A107" s="180" t="s">
        <v>336</v>
      </c>
      <c r="B107" s="170" t="s">
        <v>337</v>
      </c>
      <c r="C107" s="171" t="s">
        <v>307</v>
      </c>
      <c r="D107" s="172">
        <f>27447.91+357.5</f>
        <v>27805.41</v>
      </c>
      <c r="E107" s="166"/>
      <c r="F107" s="166"/>
      <c r="G107" s="205">
        <v>18733.19</v>
      </c>
      <c r="H107" s="180"/>
      <c r="I107" s="169"/>
      <c r="J107" s="171" t="s">
        <v>268</v>
      </c>
      <c r="K107" s="172"/>
    </row>
    <row r="108" spans="1:11" ht="30" customHeight="1">
      <c r="A108" s="180" t="s">
        <v>338</v>
      </c>
      <c r="B108" s="170" t="s">
        <v>339</v>
      </c>
      <c r="C108" s="171" t="s">
        <v>307</v>
      </c>
      <c r="D108" s="172">
        <v>35186.8</v>
      </c>
      <c r="E108" s="166"/>
      <c r="F108" s="166"/>
      <c r="G108" s="205">
        <v>33541.38999999999</v>
      </c>
      <c r="H108" s="180"/>
      <c r="I108" s="169"/>
      <c r="J108" s="171" t="s">
        <v>268</v>
      </c>
      <c r="K108" s="172"/>
    </row>
    <row r="109" spans="1:11" ht="30" customHeight="1">
      <c r="A109" s="180" t="s">
        <v>336</v>
      </c>
      <c r="B109" s="170" t="s">
        <v>259</v>
      </c>
      <c r="C109" s="171" t="s">
        <v>307</v>
      </c>
      <c r="D109" s="172">
        <v>60230.6</v>
      </c>
      <c r="E109" s="166"/>
      <c r="F109" s="166"/>
      <c r="G109" s="205">
        <v>52226.270000000004</v>
      </c>
      <c r="H109" s="180"/>
      <c r="I109" s="169"/>
      <c r="J109" s="171" t="s">
        <v>268</v>
      </c>
      <c r="K109" s="172"/>
    </row>
    <row r="110" spans="1:11" ht="30" customHeight="1">
      <c r="A110" s="180" t="s">
        <v>340</v>
      </c>
      <c r="B110" s="170" t="s">
        <v>341</v>
      </c>
      <c r="C110" s="171" t="s">
        <v>307</v>
      </c>
      <c r="D110" s="172">
        <v>82839</v>
      </c>
      <c r="E110" s="166"/>
      <c r="F110" s="166"/>
      <c r="G110" s="205">
        <v>76692.7</v>
      </c>
      <c r="H110" s="180"/>
      <c r="I110" s="169"/>
      <c r="J110" s="171" t="s">
        <v>268</v>
      </c>
      <c r="K110" s="172"/>
    </row>
    <row r="111" spans="1:11" ht="30" customHeight="1">
      <c r="A111" s="180" t="s">
        <v>342</v>
      </c>
      <c r="B111" s="170" t="s">
        <v>343</v>
      </c>
      <c r="C111" s="171" t="s">
        <v>271</v>
      </c>
      <c r="D111" s="204">
        <v>1141</v>
      </c>
      <c r="E111" s="166"/>
      <c r="F111" s="166"/>
      <c r="G111" s="205">
        <v>1129.2</v>
      </c>
      <c r="H111" s="180"/>
      <c r="I111" s="169"/>
      <c r="J111" s="171" t="s">
        <v>268</v>
      </c>
      <c r="K111" s="172"/>
    </row>
    <row r="112" spans="1:11" ht="30" customHeight="1">
      <c r="A112" s="180" t="s">
        <v>336</v>
      </c>
      <c r="B112" s="170" t="s">
        <v>344</v>
      </c>
      <c r="C112" s="171" t="s">
        <v>307</v>
      </c>
      <c r="D112" s="172">
        <v>9020</v>
      </c>
      <c r="E112" s="166"/>
      <c r="F112" s="166"/>
      <c r="G112" s="205">
        <v>9018</v>
      </c>
      <c r="H112" s="180"/>
      <c r="I112" s="169"/>
      <c r="J112" s="171" t="s">
        <v>268</v>
      </c>
      <c r="K112" s="172"/>
    </row>
    <row r="113" spans="1:11" ht="30" customHeight="1">
      <c r="A113" s="180" t="s">
        <v>336</v>
      </c>
      <c r="B113" s="170" t="s">
        <v>345</v>
      </c>
      <c r="C113" s="171" t="s">
        <v>307</v>
      </c>
      <c r="D113" s="172">
        <v>4174</v>
      </c>
      <c r="E113" s="166"/>
      <c r="F113" s="166"/>
      <c r="G113" s="205">
        <v>4068</v>
      </c>
      <c r="H113" s="180"/>
      <c r="I113" s="169"/>
      <c r="J113" s="171" t="s">
        <v>268</v>
      </c>
      <c r="K113" s="172"/>
    </row>
    <row r="114" spans="1:11" ht="30" customHeight="1">
      <c r="A114" s="180" t="s">
        <v>346</v>
      </c>
      <c r="B114" s="170" t="s">
        <v>347</v>
      </c>
      <c r="C114" s="171" t="s">
        <v>162</v>
      </c>
      <c r="D114" s="172">
        <v>2778</v>
      </c>
      <c r="E114" s="166"/>
      <c r="F114" s="166"/>
      <c r="G114" s="205">
        <v>2486.6000000000004</v>
      </c>
      <c r="H114" s="180"/>
      <c r="I114" s="169"/>
      <c r="J114" s="171" t="s">
        <v>268</v>
      </c>
      <c r="K114" s="172"/>
    </row>
    <row r="115" spans="1:11" ht="30" customHeight="1">
      <c r="A115" s="180" t="s">
        <v>346</v>
      </c>
      <c r="B115" s="170" t="s">
        <v>348</v>
      </c>
      <c r="C115" s="171" t="s">
        <v>162</v>
      </c>
      <c r="D115" s="172">
        <v>1665.3</v>
      </c>
      <c r="E115" s="166"/>
      <c r="F115" s="166"/>
      <c r="G115" s="205">
        <v>1657.8</v>
      </c>
      <c r="H115" s="180"/>
      <c r="I115" s="169"/>
      <c r="J115" s="171" t="s">
        <v>268</v>
      </c>
      <c r="K115" s="172"/>
    </row>
    <row r="116" spans="1:11" ht="30" customHeight="1">
      <c r="A116" s="180" t="s">
        <v>346</v>
      </c>
      <c r="B116" s="170" t="s">
        <v>349</v>
      </c>
      <c r="C116" s="171" t="s">
        <v>307</v>
      </c>
      <c r="D116" s="172">
        <v>24300</v>
      </c>
      <c r="E116" s="166"/>
      <c r="F116" s="166"/>
      <c r="G116" s="204">
        <v>22404.870000000003</v>
      </c>
      <c r="H116" s="180"/>
      <c r="I116" s="169"/>
      <c r="J116" s="171" t="s">
        <v>268</v>
      </c>
      <c r="K116" s="172"/>
    </row>
    <row r="117" spans="1:11" ht="30" customHeight="1">
      <c r="A117" s="180" t="s">
        <v>350</v>
      </c>
      <c r="B117" s="170" t="s">
        <v>351</v>
      </c>
      <c r="C117" s="171" t="s">
        <v>162</v>
      </c>
      <c r="D117" s="204">
        <v>79</v>
      </c>
      <c r="E117" s="166"/>
      <c r="F117" s="166"/>
      <c r="G117" s="205">
        <v>79</v>
      </c>
      <c r="H117" s="180"/>
      <c r="I117" s="169"/>
      <c r="J117" s="171" t="s">
        <v>268</v>
      </c>
      <c r="K117" s="172"/>
    </row>
    <row r="118" spans="1:11" ht="30" customHeight="1">
      <c r="A118" s="180" t="s">
        <v>334</v>
      </c>
      <c r="B118" s="170" t="s">
        <v>352</v>
      </c>
      <c r="C118" s="171" t="s">
        <v>307</v>
      </c>
      <c r="D118" s="204">
        <v>26500</v>
      </c>
      <c r="E118" s="166"/>
      <c r="F118" s="166"/>
      <c r="G118" s="205">
        <v>26500</v>
      </c>
      <c r="H118" s="180"/>
      <c r="I118" s="169"/>
      <c r="J118" s="171" t="s">
        <v>268</v>
      </c>
      <c r="K118" s="172"/>
    </row>
    <row r="119" spans="1:11" ht="30" customHeight="1">
      <c r="A119" s="180" t="s">
        <v>353</v>
      </c>
      <c r="B119" s="170" t="s">
        <v>354</v>
      </c>
      <c r="C119" s="171" t="s">
        <v>355</v>
      </c>
      <c r="D119" s="204">
        <f>6*100+5*100</f>
        <v>1100</v>
      </c>
      <c r="E119" s="166"/>
      <c r="F119" s="166"/>
      <c r="G119" s="205">
        <v>1100</v>
      </c>
      <c r="H119" s="180"/>
      <c r="I119" s="169"/>
      <c r="J119" s="171" t="s">
        <v>268</v>
      </c>
      <c r="K119" s="172"/>
    </row>
    <row r="120" spans="1:11" ht="30" customHeight="1">
      <c r="A120" s="180" t="s">
        <v>356</v>
      </c>
      <c r="B120" s="170" t="s">
        <v>357</v>
      </c>
      <c r="C120" s="171" t="s">
        <v>307</v>
      </c>
      <c r="D120" s="204">
        <v>9660</v>
      </c>
      <c r="E120" s="166"/>
      <c r="F120" s="166"/>
      <c r="G120" s="205">
        <v>9660</v>
      </c>
      <c r="H120" s="180"/>
      <c r="I120" s="169"/>
      <c r="J120" s="171" t="s">
        <v>268</v>
      </c>
      <c r="K120" s="172"/>
    </row>
    <row r="121" spans="1:11" ht="30" customHeight="1">
      <c r="A121" s="180" t="s">
        <v>358</v>
      </c>
      <c r="B121" s="170" t="s">
        <v>359</v>
      </c>
      <c r="C121" s="171" t="s">
        <v>307</v>
      </c>
      <c r="D121" s="204">
        <v>15320</v>
      </c>
      <c r="E121" s="166"/>
      <c r="F121" s="166"/>
      <c r="G121" s="205">
        <v>15320</v>
      </c>
      <c r="H121" s="180"/>
      <c r="I121" s="169"/>
      <c r="J121" s="171" t="s">
        <v>268</v>
      </c>
      <c r="K121" s="172"/>
    </row>
    <row r="122" spans="1:11" ht="30" customHeight="1">
      <c r="A122" s="180" t="s">
        <v>360</v>
      </c>
      <c r="B122" s="170" t="s">
        <v>361</v>
      </c>
      <c r="C122" s="171" t="s">
        <v>307</v>
      </c>
      <c r="D122" s="204">
        <v>2995</v>
      </c>
      <c r="E122" s="166"/>
      <c r="F122" s="166"/>
      <c r="G122" s="205">
        <v>2995</v>
      </c>
      <c r="H122" s="180"/>
      <c r="I122" s="169"/>
      <c r="J122" s="171" t="s">
        <v>268</v>
      </c>
      <c r="K122" s="172"/>
    </row>
    <row r="123" spans="1:11" ht="30" customHeight="1">
      <c r="A123" s="180" t="s">
        <v>360</v>
      </c>
      <c r="B123" s="170" t="s">
        <v>362</v>
      </c>
      <c r="C123" s="171" t="s">
        <v>307</v>
      </c>
      <c r="D123" s="204">
        <v>1299</v>
      </c>
      <c r="E123" s="166"/>
      <c r="F123" s="166"/>
      <c r="G123" s="205">
        <v>1299</v>
      </c>
      <c r="H123" s="180"/>
      <c r="I123" s="169"/>
      <c r="J123" s="171" t="s">
        <v>268</v>
      </c>
      <c r="K123" s="172"/>
    </row>
    <row r="124" spans="1:11" ht="30" customHeight="1">
      <c r="A124" s="180" t="s">
        <v>363</v>
      </c>
      <c r="B124" s="170" t="s">
        <v>364</v>
      </c>
      <c r="C124" s="171" t="s">
        <v>271</v>
      </c>
      <c r="D124" s="210">
        <v>5000</v>
      </c>
      <c r="E124" s="166"/>
      <c r="F124" s="166"/>
      <c r="G124" s="205">
        <v>4302.75</v>
      </c>
      <c r="H124" s="180"/>
      <c r="I124" s="169"/>
      <c r="J124" s="171" t="s">
        <v>268</v>
      </c>
      <c r="K124" s="172"/>
    </row>
    <row r="125" spans="1:11" ht="30" customHeight="1">
      <c r="A125" s="180" t="s">
        <v>365</v>
      </c>
      <c r="B125" s="170" t="s">
        <v>366</v>
      </c>
      <c r="C125" s="171" t="s">
        <v>162</v>
      </c>
      <c r="D125" s="204">
        <v>130</v>
      </c>
      <c r="E125" s="166"/>
      <c r="F125" s="166"/>
      <c r="G125" s="205">
        <v>130</v>
      </c>
      <c r="H125" s="180"/>
      <c r="I125" s="169"/>
      <c r="J125" s="171" t="s">
        <v>268</v>
      </c>
      <c r="K125" s="172"/>
    </row>
    <row r="126" spans="1:11" ht="30" customHeight="1">
      <c r="A126" s="180" t="s">
        <v>367</v>
      </c>
      <c r="B126" s="170" t="s">
        <v>368</v>
      </c>
      <c r="C126" s="171" t="s">
        <v>162</v>
      </c>
      <c r="D126" s="204">
        <f>2*9.75</f>
        <v>19.5</v>
      </c>
      <c r="E126" s="166"/>
      <c r="F126" s="166"/>
      <c r="G126" s="205">
        <v>19.5</v>
      </c>
      <c r="H126" s="180"/>
      <c r="I126" s="169"/>
      <c r="J126" s="171" t="s">
        <v>268</v>
      </c>
      <c r="K126" s="172"/>
    </row>
    <row r="127" spans="1:11" ht="30" customHeight="1">
      <c r="A127" s="180" t="s">
        <v>247</v>
      </c>
      <c r="B127" s="170" t="s">
        <v>369</v>
      </c>
      <c r="C127" s="171" t="s">
        <v>162</v>
      </c>
      <c r="D127" s="207">
        <f>223+95</f>
        <v>318</v>
      </c>
      <c r="E127" s="166"/>
      <c r="F127" s="166"/>
      <c r="G127" s="205">
        <v>318</v>
      </c>
      <c r="H127" s="180"/>
      <c r="I127" s="169"/>
      <c r="J127" s="171" t="s">
        <v>268</v>
      </c>
      <c r="K127" s="172"/>
    </row>
    <row r="128" spans="1:11" ht="30" customHeight="1">
      <c r="A128" s="180" t="s">
        <v>370</v>
      </c>
      <c r="B128" s="170" t="s">
        <v>371</v>
      </c>
      <c r="C128" s="171" t="s">
        <v>162</v>
      </c>
      <c r="D128" s="211">
        <f>165.86*2</f>
        <v>331.72</v>
      </c>
      <c r="E128" s="166"/>
      <c r="F128" s="166"/>
      <c r="G128" s="205">
        <v>331.72</v>
      </c>
      <c r="H128" s="180"/>
      <c r="I128" s="169"/>
      <c r="J128" s="171" t="s">
        <v>268</v>
      </c>
      <c r="K128" s="172"/>
    </row>
    <row r="129" spans="1:11" ht="30" customHeight="1">
      <c r="A129" s="180" t="s">
        <v>252</v>
      </c>
      <c r="B129" s="170" t="s">
        <v>372</v>
      </c>
      <c r="C129" s="171" t="s">
        <v>148</v>
      </c>
      <c r="D129" s="211">
        <f>4*129</f>
        <v>516</v>
      </c>
      <c r="E129" s="166"/>
      <c r="F129" s="166"/>
      <c r="G129" s="205">
        <v>516</v>
      </c>
      <c r="H129" s="180"/>
      <c r="I129" s="169"/>
      <c r="J129" s="171" t="s">
        <v>72</v>
      </c>
      <c r="K129" s="172"/>
    </row>
    <row r="130" spans="1:11" ht="30" customHeight="1">
      <c r="A130" s="180" t="s">
        <v>373</v>
      </c>
      <c r="B130" s="170" t="s">
        <v>374</v>
      </c>
      <c r="C130" s="171" t="s">
        <v>375</v>
      </c>
      <c r="D130" s="207">
        <f>2*250</f>
        <v>500</v>
      </c>
      <c r="E130" s="166"/>
      <c r="F130" s="166"/>
      <c r="G130" s="205">
        <v>500</v>
      </c>
      <c r="H130" s="180"/>
      <c r="I130" s="169"/>
      <c r="J130" s="171" t="s">
        <v>268</v>
      </c>
      <c r="K130" s="172"/>
    </row>
    <row r="131" spans="1:11" ht="30" customHeight="1">
      <c r="A131" s="180" t="s">
        <v>342</v>
      </c>
      <c r="B131" s="170" t="s">
        <v>376</v>
      </c>
      <c r="C131" s="171" t="s">
        <v>271</v>
      </c>
      <c r="D131" s="207">
        <v>3000</v>
      </c>
      <c r="E131" s="166"/>
      <c r="F131" s="166"/>
      <c r="G131" s="205">
        <v>2769.6000000000004</v>
      </c>
      <c r="H131" s="180"/>
      <c r="I131" s="169"/>
      <c r="J131" s="171" t="s">
        <v>268</v>
      </c>
      <c r="K131" s="172"/>
    </row>
    <row r="132" spans="1:11" ht="30" customHeight="1">
      <c r="A132" s="169" t="s">
        <v>377</v>
      </c>
      <c r="B132" s="170" t="s">
        <v>378</v>
      </c>
      <c r="C132" s="171" t="s">
        <v>375</v>
      </c>
      <c r="D132" s="207">
        <f>200*3.45</f>
        <v>690</v>
      </c>
      <c r="E132" s="166"/>
      <c r="F132" s="166"/>
      <c r="G132" s="205">
        <v>690</v>
      </c>
      <c r="H132" s="180"/>
      <c r="I132" s="169"/>
      <c r="J132" s="171" t="s">
        <v>268</v>
      </c>
      <c r="K132" s="172"/>
    </row>
    <row r="133" spans="1:11" ht="30" customHeight="1">
      <c r="A133" s="180" t="s">
        <v>379</v>
      </c>
      <c r="B133" s="170" t="s">
        <v>380</v>
      </c>
      <c r="C133" s="171" t="s">
        <v>375</v>
      </c>
      <c r="D133" s="210">
        <v>1000</v>
      </c>
      <c r="E133" s="166"/>
      <c r="F133" s="166">
        <v>1044</v>
      </c>
      <c r="G133" s="205">
        <v>989.0899999999999</v>
      </c>
      <c r="H133" s="180"/>
      <c r="I133" s="169"/>
      <c r="J133" s="171" t="s">
        <v>268</v>
      </c>
      <c r="K133" s="172"/>
    </row>
    <row r="134" spans="1:11" ht="30" customHeight="1">
      <c r="A134" s="180" t="s">
        <v>381</v>
      </c>
      <c r="B134" s="170" t="s">
        <v>382</v>
      </c>
      <c r="C134" s="171" t="s">
        <v>375</v>
      </c>
      <c r="D134" s="207">
        <f>30*25</f>
        <v>750</v>
      </c>
      <c r="E134" s="166"/>
      <c r="F134" s="166"/>
      <c r="G134" s="205">
        <v>750</v>
      </c>
      <c r="H134" s="180"/>
      <c r="I134" s="169"/>
      <c r="J134" s="171" t="s">
        <v>268</v>
      </c>
      <c r="K134" s="172"/>
    </row>
    <row r="135" spans="1:11" ht="30" customHeight="1">
      <c r="A135" s="180" t="s">
        <v>383</v>
      </c>
      <c r="B135" s="170" t="s">
        <v>384</v>
      </c>
      <c r="C135" s="171" t="s">
        <v>375</v>
      </c>
      <c r="D135" s="207">
        <f>3920/0.8</f>
        <v>4900</v>
      </c>
      <c r="E135" s="166"/>
      <c r="F135" s="166"/>
      <c r="G135" s="205">
        <v>4900</v>
      </c>
      <c r="H135" s="180"/>
      <c r="I135" s="169"/>
      <c r="J135" s="171" t="s">
        <v>268</v>
      </c>
      <c r="K135" s="172"/>
    </row>
    <row r="136" spans="1:11" ht="30" customHeight="1">
      <c r="A136" s="180" t="s">
        <v>385</v>
      </c>
      <c r="B136" s="170" t="s">
        <v>386</v>
      </c>
      <c r="C136" s="171" t="s">
        <v>387</v>
      </c>
      <c r="D136" s="207">
        <v>10000</v>
      </c>
      <c r="E136" s="166"/>
      <c r="F136" s="166"/>
      <c r="G136" s="205">
        <v>9997.77</v>
      </c>
      <c r="H136" s="180"/>
      <c r="I136" s="169"/>
      <c r="J136" s="171" t="s">
        <v>268</v>
      </c>
      <c r="K136" s="172" t="s">
        <v>388</v>
      </c>
    </row>
    <row r="137" spans="1:11" ht="30" customHeight="1">
      <c r="A137" s="180" t="s">
        <v>389</v>
      </c>
      <c r="B137" s="170" t="s">
        <v>390</v>
      </c>
      <c r="C137" s="171" t="s">
        <v>391</v>
      </c>
      <c r="D137" s="207">
        <v>364.61</v>
      </c>
      <c r="E137" s="166"/>
      <c r="F137" s="166"/>
      <c r="G137" s="205">
        <v>364.61</v>
      </c>
      <c r="H137" s="180"/>
      <c r="I137" s="169"/>
      <c r="J137" s="171" t="s">
        <v>268</v>
      </c>
      <c r="K137" s="172"/>
    </row>
    <row r="138" spans="1:11" ht="30" customHeight="1">
      <c r="A138" s="180" t="s">
        <v>336</v>
      </c>
      <c r="B138" s="189" t="s">
        <v>392</v>
      </c>
      <c r="C138" s="171" t="s">
        <v>307</v>
      </c>
      <c r="D138" s="210">
        <v>36470</v>
      </c>
      <c r="E138" s="166"/>
      <c r="F138" s="166"/>
      <c r="G138" s="205">
        <v>34146</v>
      </c>
      <c r="H138" s="180"/>
      <c r="I138" s="169"/>
      <c r="J138" s="171" t="s">
        <v>268</v>
      </c>
      <c r="K138" s="172"/>
    </row>
    <row r="139" spans="1:11" ht="30" customHeight="1">
      <c r="A139" s="180" t="s">
        <v>393</v>
      </c>
      <c r="B139" s="170" t="s">
        <v>394</v>
      </c>
      <c r="C139" s="171" t="s">
        <v>375</v>
      </c>
      <c r="D139" s="207">
        <f>50*13.5</f>
        <v>675</v>
      </c>
      <c r="E139" s="166"/>
      <c r="F139" s="166"/>
      <c r="G139" s="205">
        <v>675</v>
      </c>
      <c r="H139" s="180"/>
      <c r="I139" s="169"/>
      <c r="J139" s="171" t="s">
        <v>268</v>
      </c>
      <c r="K139" s="172"/>
    </row>
    <row r="140" spans="1:11" ht="30" customHeight="1">
      <c r="A140" s="192" t="s">
        <v>395</v>
      </c>
      <c r="B140" s="170" t="s">
        <v>396</v>
      </c>
      <c r="C140" s="171" t="s">
        <v>375</v>
      </c>
      <c r="D140" s="207">
        <f>45*22</f>
        <v>990</v>
      </c>
      <c r="E140" s="166"/>
      <c r="F140" s="166"/>
      <c r="G140" s="205">
        <v>990</v>
      </c>
      <c r="H140" s="180"/>
      <c r="I140" s="169"/>
      <c r="J140" s="171" t="s">
        <v>268</v>
      </c>
      <c r="K140" s="172"/>
    </row>
    <row r="141" spans="1:11" ht="30" customHeight="1">
      <c r="A141" s="180" t="s">
        <v>397</v>
      </c>
      <c r="B141" s="170" t="s">
        <v>398</v>
      </c>
      <c r="C141" s="171" t="s">
        <v>375</v>
      </c>
      <c r="D141" s="207">
        <f>100*10</f>
        <v>1000</v>
      </c>
      <c r="E141" s="166"/>
      <c r="F141" s="166"/>
      <c r="G141" s="205">
        <v>1000</v>
      </c>
      <c r="H141" s="180"/>
      <c r="I141" s="169"/>
      <c r="J141" s="171" t="s">
        <v>268</v>
      </c>
      <c r="K141" s="172"/>
    </row>
    <row r="142" spans="1:11" ht="30" customHeight="1">
      <c r="A142" s="180" t="s">
        <v>252</v>
      </c>
      <c r="B142" s="182" t="s">
        <v>399</v>
      </c>
      <c r="C142" s="171" t="s">
        <v>148</v>
      </c>
      <c r="D142" s="207">
        <f>94.49*4</f>
        <v>377.96</v>
      </c>
      <c r="E142" s="166"/>
      <c r="F142" s="166"/>
      <c r="G142" s="205">
        <v>377.96</v>
      </c>
      <c r="H142" s="180"/>
      <c r="I142" s="169"/>
      <c r="J142" s="171" t="s">
        <v>268</v>
      </c>
      <c r="K142" s="172"/>
    </row>
    <row r="143" spans="1:11" ht="30" customHeight="1">
      <c r="A143" s="180" t="s">
        <v>183</v>
      </c>
      <c r="B143" s="170" t="s">
        <v>184</v>
      </c>
      <c r="C143" s="171" t="s">
        <v>148</v>
      </c>
      <c r="D143" s="207">
        <v>1137</v>
      </c>
      <c r="E143" s="166"/>
      <c r="F143" s="166"/>
      <c r="G143" s="205">
        <v>1137</v>
      </c>
      <c r="H143" s="180"/>
      <c r="I143" s="169"/>
      <c r="J143" s="171" t="s">
        <v>268</v>
      </c>
      <c r="K143" s="172"/>
    </row>
    <row r="144" spans="1:11" ht="30" customHeight="1">
      <c r="A144" s="180" t="s">
        <v>183</v>
      </c>
      <c r="B144" s="170" t="s">
        <v>400</v>
      </c>
      <c r="C144" s="171" t="s">
        <v>148</v>
      </c>
      <c r="D144" s="207">
        <v>1259.99</v>
      </c>
      <c r="E144" s="166"/>
      <c r="F144" s="166"/>
      <c r="G144" s="205">
        <v>1259.99</v>
      </c>
      <c r="H144" s="180"/>
      <c r="I144" s="169"/>
      <c r="J144" s="171" t="s">
        <v>268</v>
      </c>
      <c r="K144" s="172"/>
    </row>
    <row r="145" spans="1:11" ht="30" customHeight="1">
      <c r="A145" s="180" t="s">
        <v>401</v>
      </c>
      <c r="B145" s="182" t="s">
        <v>402</v>
      </c>
      <c r="C145" s="171" t="s">
        <v>375</v>
      </c>
      <c r="D145" s="207">
        <v>4505</v>
      </c>
      <c r="E145" s="166"/>
      <c r="F145" s="166"/>
      <c r="G145" s="205">
        <v>4505</v>
      </c>
      <c r="H145" s="180"/>
      <c r="I145" s="169"/>
      <c r="J145" s="171" t="s">
        <v>268</v>
      </c>
      <c r="K145" s="172"/>
    </row>
    <row r="146" spans="1:11" ht="30" customHeight="1">
      <c r="A146" s="180" t="s">
        <v>403</v>
      </c>
      <c r="B146" s="182" t="s">
        <v>404</v>
      </c>
      <c r="C146" s="171" t="s">
        <v>405</v>
      </c>
      <c r="D146" s="207">
        <v>1537.31</v>
      </c>
      <c r="E146" s="166"/>
      <c r="F146" s="166"/>
      <c r="G146" s="205">
        <v>1537.31</v>
      </c>
      <c r="H146" s="180"/>
      <c r="I146" s="169"/>
      <c r="J146" s="171" t="s">
        <v>268</v>
      </c>
      <c r="K146" s="172"/>
    </row>
    <row r="147" spans="1:11" ht="30" customHeight="1">
      <c r="A147" s="180" t="s">
        <v>406</v>
      </c>
      <c r="B147" s="212" t="s">
        <v>407</v>
      </c>
      <c r="C147" s="171" t="s">
        <v>375</v>
      </c>
      <c r="D147" s="207">
        <v>2070</v>
      </c>
      <c r="E147" s="166"/>
      <c r="F147" s="166"/>
      <c r="G147" s="205">
        <v>1815</v>
      </c>
      <c r="H147" s="180"/>
      <c r="I147" s="169"/>
      <c r="J147" s="171" t="s">
        <v>268</v>
      </c>
      <c r="K147" s="172"/>
    </row>
    <row r="148" spans="1:11" ht="30" customHeight="1">
      <c r="A148" s="180" t="s">
        <v>408</v>
      </c>
      <c r="B148" s="182" t="s">
        <v>409</v>
      </c>
      <c r="C148" s="213" t="s">
        <v>307</v>
      </c>
      <c r="D148" s="207">
        <v>85000</v>
      </c>
      <c r="E148" s="166"/>
      <c r="F148" s="166"/>
      <c r="G148" s="205">
        <v>55817.35</v>
      </c>
      <c r="H148" s="180"/>
      <c r="I148" s="169"/>
      <c r="J148" s="171" t="s">
        <v>268</v>
      </c>
      <c r="K148" s="172"/>
    </row>
    <row r="149" spans="1:11" ht="30" customHeight="1">
      <c r="A149" s="180" t="s">
        <v>410</v>
      </c>
      <c r="B149" s="214" t="s">
        <v>411</v>
      </c>
      <c r="C149" s="171" t="s">
        <v>375</v>
      </c>
      <c r="D149" s="207">
        <v>120</v>
      </c>
      <c r="E149" s="166"/>
      <c r="F149" s="166"/>
      <c r="G149" s="205">
        <v>120</v>
      </c>
      <c r="H149" s="180"/>
      <c r="I149" s="169"/>
      <c r="J149" s="171" t="s">
        <v>268</v>
      </c>
      <c r="K149" s="172"/>
    </row>
    <row r="150" spans="1:11" ht="30" customHeight="1">
      <c r="A150" s="180" t="s">
        <v>412</v>
      </c>
      <c r="B150" s="214" t="s">
        <v>413</v>
      </c>
      <c r="C150" s="171" t="s">
        <v>414</v>
      </c>
      <c r="D150" s="207">
        <v>4540</v>
      </c>
      <c r="E150" s="166"/>
      <c r="F150" s="166"/>
      <c r="G150" s="205">
        <v>4540</v>
      </c>
      <c r="H150" s="180"/>
      <c r="I150" s="169"/>
      <c r="J150" s="171" t="s">
        <v>268</v>
      </c>
      <c r="K150" s="172"/>
    </row>
    <row r="151" spans="1:11" ht="30" customHeight="1">
      <c r="A151" s="180" t="s">
        <v>168</v>
      </c>
      <c r="B151" s="178" t="s">
        <v>415</v>
      </c>
      <c r="C151" s="171" t="s">
        <v>375</v>
      </c>
      <c r="D151" s="207">
        <f>6*154</f>
        <v>924</v>
      </c>
      <c r="E151" s="166"/>
      <c r="F151" s="166"/>
      <c r="G151" s="205">
        <v>924</v>
      </c>
      <c r="H151" s="180"/>
      <c r="I151" s="169"/>
      <c r="J151" s="171" t="s">
        <v>268</v>
      </c>
      <c r="K151" s="172"/>
    </row>
    <row r="152" spans="1:11" ht="30" customHeight="1">
      <c r="A152" s="180" t="s">
        <v>416</v>
      </c>
      <c r="B152" s="182" t="s">
        <v>417</v>
      </c>
      <c r="C152" s="171" t="s">
        <v>375</v>
      </c>
      <c r="D152" s="207">
        <f>60*12</f>
        <v>720</v>
      </c>
      <c r="E152" s="166"/>
      <c r="F152" s="166"/>
      <c r="G152" s="205">
        <v>720</v>
      </c>
      <c r="H152" s="180"/>
      <c r="I152" s="169"/>
      <c r="J152" s="171" t="s">
        <v>268</v>
      </c>
      <c r="K152" s="172"/>
    </row>
    <row r="153" spans="1:11" ht="30" customHeight="1">
      <c r="A153" s="180" t="s">
        <v>353</v>
      </c>
      <c r="B153" s="214" t="s">
        <v>418</v>
      </c>
      <c r="C153" s="171" t="s">
        <v>355</v>
      </c>
      <c r="D153" s="207">
        <f>6*250+5*250</f>
        <v>2750</v>
      </c>
      <c r="E153" s="166"/>
      <c r="F153" s="166"/>
      <c r="G153" s="205">
        <v>2750</v>
      </c>
      <c r="H153" s="180"/>
      <c r="I153" s="169"/>
      <c r="J153" s="171" t="s">
        <v>268</v>
      </c>
      <c r="K153" s="172"/>
    </row>
    <row r="154" spans="1:11" ht="30" customHeight="1">
      <c r="A154" s="180" t="s">
        <v>334</v>
      </c>
      <c r="B154" s="214" t="s">
        <v>419</v>
      </c>
      <c r="C154" s="171" t="s">
        <v>414</v>
      </c>
      <c r="D154" s="207">
        <v>25800</v>
      </c>
      <c r="E154" s="166"/>
      <c r="F154" s="166"/>
      <c r="G154" s="205">
        <v>14917</v>
      </c>
      <c r="H154" s="180"/>
      <c r="I154" s="169"/>
      <c r="J154" s="171" t="s">
        <v>268</v>
      </c>
      <c r="K154" s="172"/>
    </row>
    <row r="155" spans="1:11" ht="30" customHeight="1">
      <c r="A155" s="180" t="s">
        <v>420</v>
      </c>
      <c r="B155" s="215" t="s">
        <v>421</v>
      </c>
      <c r="C155" s="171" t="s">
        <v>414</v>
      </c>
      <c r="D155" s="207">
        <v>16340</v>
      </c>
      <c r="E155" s="166"/>
      <c r="F155" s="166"/>
      <c r="G155" s="205">
        <v>16340</v>
      </c>
      <c r="H155" s="180"/>
      <c r="I155" s="169"/>
      <c r="J155" s="171" t="s">
        <v>268</v>
      </c>
      <c r="K155" s="172"/>
    </row>
    <row r="156" spans="1:11" ht="30" customHeight="1">
      <c r="A156" s="180" t="s">
        <v>422</v>
      </c>
      <c r="B156" s="215" t="s">
        <v>423</v>
      </c>
      <c r="C156" s="171" t="s">
        <v>375</v>
      </c>
      <c r="D156" s="207">
        <f>1712*0.8+342.4</f>
        <v>1712</v>
      </c>
      <c r="E156" s="166"/>
      <c r="F156" s="166"/>
      <c r="G156" s="205">
        <v>1712</v>
      </c>
      <c r="H156" s="180"/>
      <c r="I156" s="169"/>
      <c r="J156" s="171" t="s">
        <v>268</v>
      </c>
      <c r="K156" s="172"/>
    </row>
    <row r="157" spans="1:11" ht="30" customHeight="1">
      <c r="A157" s="180" t="s">
        <v>424</v>
      </c>
      <c r="B157" s="215" t="s">
        <v>425</v>
      </c>
      <c r="C157" s="171" t="s">
        <v>375</v>
      </c>
      <c r="D157" s="207">
        <v>60</v>
      </c>
      <c r="E157" s="166"/>
      <c r="F157" s="166"/>
      <c r="G157" s="205">
        <v>60</v>
      </c>
      <c r="H157" s="180"/>
      <c r="I157" s="169"/>
      <c r="J157" s="171" t="s">
        <v>268</v>
      </c>
      <c r="K157" s="172"/>
    </row>
    <row r="158" spans="1:11" ht="30" customHeight="1">
      <c r="A158" s="180" t="s">
        <v>168</v>
      </c>
      <c r="B158" s="214" t="s">
        <v>426</v>
      </c>
      <c r="C158" s="171" t="s">
        <v>375</v>
      </c>
      <c r="D158" s="207">
        <f>15*154</f>
        <v>2310</v>
      </c>
      <c r="E158" s="166"/>
      <c r="F158" s="166"/>
      <c r="G158" s="205">
        <v>308</v>
      </c>
      <c r="H158" s="180"/>
      <c r="I158" s="169"/>
      <c r="J158" s="171" t="s">
        <v>268</v>
      </c>
      <c r="K158" s="172"/>
    </row>
    <row r="159" spans="1:11" ht="30" customHeight="1">
      <c r="A159" s="180" t="s">
        <v>356</v>
      </c>
      <c r="B159" s="214" t="s">
        <v>427</v>
      </c>
      <c r="C159" s="171" t="s">
        <v>307</v>
      </c>
      <c r="D159" s="207">
        <v>7755</v>
      </c>
      <c r="E159" s="166"/>
      <c r="F159" s="166"/>
      <c r="G159" s="205">
        <v>4333.200000000001</v>
      </c>
      <c r="H159" s="180"/>
      <c r="I159" s="169"/>
      <c r="J159" s="171" t="s">
        <v>268</v>
      </c>
      <c r="K159" s="172"/>
    </row>
    <row r="160" spans="1:11" ht="30" customHeight="1">
      <c r="A160" s="169" t="s">
        <v>428</v>
      </c>
      <c r="B160" s="184" t="s">
        <v>429</v>
      </c>
      <c r="C160" s="171" t="s">
        <v>154</v>
      </c>
      <c r="D160" s="207">
        <v>1397.5</v>
      </c>
      <c r="E160" s="166"/>
      <c r="F160" s="166"/>
      <c r="G160" s="205">
        <v>1397.5</v>
      </c>
      <c r="H160" s="180"/>
      <c r="I160" s="169"/>
      <c r="J160" s="171" t="s">
        <v>268</v>
      </c>
      <c r="K160" s="172"/>
    </row>
    <row r="161" spans="1:11" ht="30" customHeight="1">
      <c r="A161" s="180" t="s">
        <v>430</v>
      </c>
      <c r="B161" s="215" t="s">
        <v>431</v>
      </c>
      <c r="C161" s="171" t="s">
        <v>432</v>
      </c>
      <c r="D161" s="207">
        <v>22000</v>
      </c>
      <c r="E161" s="166"/>
      <c r="F161" s="166"/>
      <c r="G161" s="205">
        <v>22000</v>
      </c>
      <c r="H161" s="180"/>
      <c r="I161" s="169"/>
      <c r="J161" s="171" t="s">
        <v>268</v>
      </c>
      <c r="K161" s="172"/>
    </row>
    <row r="162" spans="1:11" ht="30" customHeight="1">
      <c r="A162" s="180" t="s">
        <v>365</v>
      </c>
      <c r="B162" s="214" t="s">
        <v>433</v>
      </c>
      <c r="C162" s="171" t="s">
        <v>375</v>
      </c>
      <c r="D162" s="207">
        <v>130</v>
      </c>
      <c r="E162" s="166"/>
      <c r="F162" s="166"/>
      <c r="G162" s="205">
        <v>130</v>
      </c>
      <c r="H162" s="180"/>
      <c r="I162" s="169"/>
      <c r="J162" s="171" t="s">
        <v>268</v>
      </c>
      <c r="K162" s="172"/>
    </row>
    <row r="163" spans="1:11" ht="30" customHeight="1">
      <c r="A163" s="180" t="s">
        <v>434</v>
      </c>
      <c r="B163" s="184" t="s">
        <v>206</v>
      </c>
      <c r="C163" s="171" t="s">
        <v>375</v>
      </c>
      <c r="D163" s="207">
        <v>120</v>
      </c>
      <c r="E163" s="166"/>
      <c r="F163" s="166"/>
      <c r="G163" s="205">
        <v>120</v>
      </c>
      <c r="H163" s="180"/>
      <c r="I163" s="169"/>
      <c r="J163" s="171" t="s">
        <v>268</v>
      </c>
      <c r="K163" s="172"/>
    </row>
    <row r="164" spans="1:11" ht="30" customHeight="1">
      <c r="A164" s="180" t="s">
        <v>435</v>
      </c>
      <c r="B164" s="184" t="s">
        <v>436</v>
      </c>
      <c r="C164" s="171" t="s">
        <v>375</v>
      </c>
      <c r="D164" s="207">
        <v>560</v>
      </c>
      <c r="E164" s="166"/>
      <c r="F164" s="166"/>
      <c r="G164" s="205">
        <v>560</v>
      </c>
      <c r="H164" s="180"/>
      <c r="I164" s="169"/>
      <c r="J164" s="171" t="s">
        <v>268</v>
      </c>
      <c r="K164" s="172"/>
    </row>
    <row r="165" spans="1:11" ht="30" customHeight="1">
      <c r="A165" s="180" t="s">
        <v>365</v>
      </c>
      <c r="B165" s="214" t="s">
        <v>437</v>
      </c>
      <c r="C165" s="171" t="s">
        <v>375</v>
      </c>
      <c r="D165" s="207">
        <v>130</v>
      </c>
      <c r="E165" s="166"/>
      <c r="F165" s="166"/>
      <c r="G165" s="205">
        <v>130</v>
      </c>
      <c r="H165" s="180"/>
      <c r="I165" s="169"/>
      <c r="J165" s="171" t="s">
        <v>268</v>
      </c>
      <c r="K165" s="172"/>
    </row>
    <row r="166" spans="1:11" ht="30" customHeight="1">
      <c r="A166" s="216" t="s">
        <v>438</v>
      </c>
      <c r="B166" s="170" t="s">
        <v>439</v>
      </c>
      <c r="C166" s="171" t="s">
        <v>375</v>
      </c>
      <c r="D166" s="207">
        <f>700*0.7</f>
        <v>489.99999999999994</v>
      </c>
      <c r="E166" s="166"/>
      <c r="F166" s="166"/>
      <c r="G166" s="205">
        <v>490</v>
      </c>
      <c r="H166" s="180"/>
      <c r="I166" s="169"/>
      <c r="J166" s="171" t="s">
        <v>268</v>
      </c>
      <c r="K166" s="172"/>
    </row>
    <row r="167" spans="1:11" ht="30" customHeight="1">
      <c r="A167" s="180" t="s">
        <v>440</v>
      </c>
      <c r="B167" s="189" t="s">
        <v>441</v>
      </c>
      <c r="C167" s="171" t="s">
        <v>162</v>
      </c>
      <c r="D167" s="211">
        <f>500*0.8+500*2.9</f>
        <v>1850</v>
      </c>
      <c r="E167" s="166"/>
      <c r="F167" s="166"/>
      <c r="G167" s="205">
        <v>1850</v>
      </c>
      <c r="H167" s="180"/>
      <c r="I167" s="169"/>
      <c r="J167" s="171" t="s">
        <v>268</v>
      </c>
      <c r="K167" s="172"/>
    </row>
    <row r="168" spans="1:11" ht="30" customHeight="1">
      <c r="A168" s="180" t="s">
        <v>330</v>
      </c>
      <c r="B168" s="217" t="s">
        <v>442</v>
      </c>
      <c r="C168" s="171" t="s">
        <v>162</v>
      </c>
      <c r="D168" s="211">
        <v>200</v>
      </c>
      <c r="E168" s="166"/>
      <c r="F168" s="166"/>
      <c r="G168" s="205">
        <v>200</v>
      </c>
      <c r="H168" s="180"/>
      <c r="I168" s="169"/>
      <c r="J168" s="171" t="s">
        <v>268</v>
      </c>
      <c r="K168" s="172"/>
    </row>
    <row r="169" spans="1:11" ht="30" customHeight="1">
      <c r="A169" s="180" t="s">
        <v>443</v>
      </c>
      <c r="B169" s="189" t="s">
        <v>444</v>
      </c>
      <c r="C169" s="169" t="s">
        <v>445</v>
      </c>
      <c r="D169" s="211">
        <f>(3900+3900+7400+2000)+1500+1500</f>
        <v>20200</v>
      </c>
      <c r="E169" s="166"/>
      <c r="F169" s="166"/>
      <c r="G169" s="205">
        <v>17200</v>
      </c>
      <c r="H169" s="180"/>
      <c r="I169" s="169"/>
      <c r="J169" s="171" t="s">
        <v>268</v>
      </c>
      <c r="K169" s="172"/>
    </row>
    <row r="170" spans="1:11" ht="30" customHeight="1">
      <c r="A170" s="169" t="s">
        <v>446</v>
      </c>
      <c r="B170" s="170" t="s">
        <v>447</v>
      </c>
      <c r="C170" s="171" t="s">
        <v>162</v>
      </c>
      <c r="D170" s="207">
        <f>50+12.5</f>
        <v>62.5</v>
      </c>
      <c r="E170" s="166"/>
      <c r="F170" s="166"/>
      <c r="G170" s="205">
        <v>62.5</v>
      </c>
      <c r="H170" s="180"/>
      <c r="I170" s="169"/>
      <c r="J170" s="171"/>
      <c r="K170" s="172"/>
    </row>
    <row r="171" spans="1:11" ht="30" customHeight="1">
      <c r="A171" s="169" t="s">
        <v>448</v>
      </c>
      <c r="B171" s="170" t="s">
        <v>449</v>
      </c>
      <c r="C171" s="171" t="s">
        <v>162</v>
      </c>
      <c r="D171" s="186">
        <f>4*76+106+107</f>
        <v>517</v>
      </c>
      <c r="E171" s="166"/>
      <c r="F171" s="166"/>
      <c r="G171" s="205">
        <v>517</v>
      </c>
      <c r="H171" s="180"/>
      <c r="I171" s="169"/>
      <c r="J171" s="171"/>
      <c r="K171" s="172"/>
    </row>
    <row r="172" spans="1:11" ht="30" customHeight="1">
      <c r="A172" s="169" t="s">
        <v>450</v>
      </c>
      <c r="B172" s="170" t="s">
        <v>451</v>
      </c>
      <c r="C172" s="171" t="s">
        <v>452</v>
      </c>
      <c r="D172" s="186">
        <v>4000</v>
      </c>
      <c r="E172" s="166"/>
      <c r="F172" s="166"/>
      <c r="G172" s="205">
        <v>4000</v>
      </c>
      <c r="H172" s="180"/>
      <c r="I172" s="169"/>
      <c r="J172" s="171"/>
      <c r="K172" s="172"/>
    </row>
    <row r="173" spans="1:11" ht="30" customHeight="1">
      <c r="A173" s="169" t="s">
        <v>353</v>
      </c>
      <c r="B173" s="170" t="s">
        <v>453</v>
      </c>
      <c r="C173" s="169" t="s">
        <v>445</v>
      </c>
      <c r="D173" s="186">
        <f>1000*4.75</f>
        <v>4750</v>
      </c>
      <c r="E173" s="166"/>
      <c r="F173" s="166"/>
      <c r="G173" s="205">
        <v>4750</v>
      </c>
      <c r="H173" s="180"/>
      <c r="I173" s="169"/>
      <c r="J173" s="171"/>
      <c r="K173" s="172"/>
    </row>
    <row r="174" spans="1:11" ht="30" customHeight="1">
      <c r="A174" s="169" t="s">
        <v>367</v>
      </c>
      <c r="B174" s="170" t="s">
        <v>454</v>
      </c>
      <c r="C174" s="171" t="s">
        <v>162</v>
      </c>
      <c r="D174" s="186">
        <v>146.25</v>
      </c>
      <c r="E174" s="166"/>
      <c r="F174" s="166"/>
      <c r="G174" s="205">
        <v>146.25</v>
      </c>
      <c r="H174" s="180"/>
      <c r="I174" s="169"/>
      <c r="J174" s="171"/>
      <c r="K174" s="172"/>
    </row>
    <row r="175" spans="1:11" ht="30" customHeight="1">
      <c r="A175" s="169" t="s">
        <v>455</v>
      </c>
      <c r="B175" s="170" t="s">
        <v>456</v>
      </c>
      <c r="C175" s="171" t="s">
        <v>162</v>
      </c>
      <c r="D175" s="186">
        <v>280</v>
      </c>
      <c r="E175" s="166"/>
      <c r="F175" s="166"/>
      <c r="G175" s="205">
        <v>280</v>
      </c>
      <c r="H175" s="180"/>
      <c r="I175" s="169"/>
      <c r="J175" s="171"/>
      <c r="K175" s="172"/>
    </row>
    <row r="176" spans="1:11" ht="30" customHeight="1">
      <c r="A176" s="169" t="s">
        <v>252</v>
      </c>
      <c r="B176" s="170" t="s">
        <v>457</v>
      </c>
      <c r="C176" s="171" t="s">
        <v>148</v>
      </c>
      <c r="D176" s="186">
        <f>8*77</f>
        <v>616</v>
      </c>
      <c r="E176" s="166"/>
      <c r="F176" s="166"/>
      <c r="G176" s="205">
        <v>616</v>
      </c>
      <c r="H176" s="180"/>
      <c r="I176" s="169"/>
      <c r="J176" s="171"/>
      <c r="K176" s="172"/>
    </row>
    <row r="177" spans="1:11" ht="30" customHeight="1">
      <c r="A177" s="169" t="s">
        <v>458</v>
      </c>
      <c r="B177" s="170" t="s">
        <v>459</v>
      </c>
      <c r="C177" s="171" t="s">
        <v>445</v>
      </c>
      <c r="D177" s="186">
        <f>1200*12.99</f>
        <v>15588</v>
      </c>
      <c r="E177" s="166"/>
      <c r="F177" s="166"/>
      <c r="G177" s="205">
        <v>2559.0299999999997</v>
      </c>
      <c r="H177" s="180"/>
      <c r="I177" s="169"/>
      <c r="J177" s="171"/>
      <c r="K177" s="172"/>
    </row>
    <row r="178" spans="1:11" ht="30" customHeight="1">
      <c r="A178" s="169" t="s">
        <v>450</v>
      </c>
      <c r="B178" s="170" t="s">
        <v>451</v>
      </c>
      <c r="C178" s="171" t="s">
        <v>452</v>
      </c>
      <c r="D178" s="186">
        <v>150</v>
      </c>
      <c r="E178" s="166"/>
      <c r="F178" s="166"/>
      <c r="G178" s="205">
        <v>150</v>
      </c>
      <c r="H178" s="180"/>
      <c r="I178" s="169"/>
      <c r="J178" s="171"/>
      <c r="K178" s="172"/>
    </row>
    <row r="179" spans="1:11" ht="30" customHeight="1">
      <c r="A179" s="169" t="s">
        <v>458</v>
      </c>
      <c r="B179" s="170" t="s">
        <v>339</v>
      </c>
      <c r="C179" s="171" t="s">
        <v>445</v>
      </c>
      <c r="D179" s="186">
        <v>13220</v>
      </c>
      <c r="E179" s="166"/>
      <c r="F179" s="166"/>
      <c r="G179" s="205">
        <v>3351.54</v>
      </c>
      <c r="H179" s="180"/>
      <c r="I179" s="169"/>
      <c r="J179" s="171"/>
      <c r="K179" s="172"/>
    </row>
    <row r="180" spans="1:11" ht="30" customHeight="1">
      <c r="A180" s="192" t="s">
        <v>263</v>
      </c>
      <c r="B180" s="182" t="s">
        <v>460</v>
      </c>
      <c r="C180" s="171" t="s">
        <v>445</v>
      </c>
      <c r="D180" s="186">
        <v>2640</v>
      </c>
      <c r="E180" s="166"/>
      <c r="F180" s="166"/>
      <c r="G180" s="205">
        <v>2640</v>
      </c>
      <c r="H180" s="180"/>
      <c r="I180" s="169"/>
      <c r="J180" s="171"/>
      <c r="K180" s="172"/>
    </row>
    <row r="181" spans="1:11" ht="30" customHeight="1">
      <c r="A181" s="169" t="s">
        <v>461</v>
      </c>
      <c r="B181" s="170" t="s">
        <v>462</v>
      </c>
      <c r="C181" s="171" t="s">
        <v>162</v>
      </c>
      <c r="D181" s="186">
        <f>465*0.8+93</f>
        <v>465</v>
      </c>
      <c r="E181" s="166"/>
      <c r="F181" s="166"/>
      <c r="G181" s="205">
        <v>465</v>
      </c>
      <c r="H181" s="180"/>
      <c r="I181" s="169"/>
      <c r="J181" s="171"/>
      <c r="K181" s="172"/>
    </row>
    <row r="182" spans="1:11" ht="30" customHeight="1">
      <c r="A182" s="181" t="s">
        <v>346</v>
      </c>
      <c r="B182" s="170" t="s">
        <v>348</v>
      </c>
      <c r="C182" s="171" t="s">
        <v>162</v>
      </c>
      <c r="D182" s="186">
        <v>450</v>
      </c>
      <c r="E182" s="166"/>
      <c r="F182" s="166"/>
      <c r="G182" s="205">
        <v>142.2</v>
      </c>
      <c r="H182" s="180"/>
      <c r="I182" s="169"/>
      <c r="J182" s="171"/>
      <c r="K182" s="172"/>
    </row>
    <row r="183" spans="1:11" ht="30" customHeight="1">
      <c r="A183" s="169" t="s">
        <v>252</v>
      </c>
      <c r="B183" s="170" t="s">
        <v>457</v>
      </c>
      <c r="C183" s="171" t="s">
        <v>148</v>
      </c>
      <c r="D183" s="186">
        <f>4*128</f>
        <v>512</v>
      </c>
      <c r="E183" s="166"/>
      <c r="F183" s="166"/>
      <c r="G183" s="205">
        <v>512</v>
      </c>
      <c r="H183" s="180"/>
      <c r="I183" s="169"/>
      <c r="J183" s="171"/>
      <c r="K183" s="172"/>
    </row>
    <row r="184" spans="1:11" ht="30" customHeight="1">
      <c r="A184" s="169" t="s">
        <v>463</v>
      </c>
      <c r="B184" s="170" t="s">
        <v>464</v>
      </c>
      <c r="C184" s="171" t="s">
        <v>197</v>
      </c>
      <c r="D184" s="186">
        <v>1669.7</v>
      </c>
      <c r="E184" s="166"/>
      <c r="F184" s="166"/>
      <c r="G184" s="205">
        <v>1669.7</v>
      </c>
      <c r="H184" s="180"/>
      <c r="I184" s="169"/>
      <c r="J184" s="171"/>
      <c r="K184" s="172"/>
    </row>
    <row r="185" spans="1:11" ht="30" customHeight="1">
      <c r="A185" s="169" t="s">
        <v>465</v>
      </c>
      <c r="B185" s="170" t="s">
        <v>466</v>
      </c>
      <c r="C185" s="171" t="s">
        <v>162</v>
      </c>
      <c r="D185" s="186">
        <v>150</v>
      </c>
      <c r="E185" s="166"/>
      <c r="F185" s="166"/>
      <c r="G185" s="204">
        <v>150</v>
      </c>
      <c r="H185" s="180"/>
      <c r="I185" s="169"/>
      <c r="J185" s="171"/>
      <c r="K185" s="172"/>
    </row>
    <row r="186" spans="1:11" ht="30" customHeight="1">
      <c r="A186" s="169" t="s">
        <v>252</v>
      </c>
      <c r="B186" s="170" t="s">
        <v>467</v>
      </c>
      <c r="C186" s="171" t="s">
        <v>162</v>
      </c>
      <c r="D186" s="207">
        <f>120*4</f>
        <v>480</v>
      </c>
      <c r="E186" s="166"/>
      <c r="F186" s="166"/>
      <c r="G186" s="204">
        <v>480</v>
      </c>
      <c r="H186" s="180"/>
      <c r="I186" s="169"/>
      <c r="J186" s="171"/>
      <c r="K186" s="172"/>
    </row>
    <row r="187" spans="1:11" ht="30" customHeight="1">
      <c r="A187" s="169" t="s">
        <v>468</v>
      </c>
      <c r="B187" s="170" t="s">
        <v>469</v>
      </c>
      <c r="C187" s="171" t="s">
        <v>162</v>
      </c>
      <c r="D187" s="207">
        <f>2*150</f>
        <v>300</v>
      </c>
      <c r="E187" s="166"/>
      <c r="F187" s="166"/>
      <c r="G187" s="204">
        <v>300</v>
      </c>
      <c r="H187" s="180"/>
      <c r="I187" s="169"/>
      <c r="J187" s="171"/>
      <c r="K187" s="172"/>
    </row>
    <row r="188" spans="1:11" ht="30" customHeight="1">
      <c r="A188" s="169" t="s">
        <v>470</v>
      </c>
      <c r="B188" s="170" t="s">
        <v>471</v>
      </c>
      <c r="C188" s="171" t="s">
        <v>162</v>
      </c>
      <c r="D188" s="207">
        <f>925*2</f>
        <v>1850</v>
      </c>
      <c r="E188" s="166"/>
      <c r="F188" s="166"/>
      <c r="G188" s="204">
        <v>1850</v>
      </c>
      <c r="H188" s="180"/>
      <c r="I188" s="169"/>
      <c r="J188" s="171"/>
      <c r="K188" s="172"/>
    </row>
    <row r="189" spans="1:11" ht="30" customHeight="1">
      <c r="A189" s="169" t="s">
        <v>472</v>
      </c>
      <c r="B189" s="170" t="s">
        <v>473</v>
      </c>
      <c r="C189" s="171" t="s">
        <v>162</v>
      </c>
      <c r="D189" s="207">
        <f>38*7+2*25</f>
        <v>316</v>
      </c>
      <c r="E189" s="166"/>
      <c r="F189" s="166"/>
      <c r="G189" s="204">
        <v>260</v>
      </c>
      <c r="H189" s="180"/>
      <c r="I189" s="169"/>
      <c r="J189" s="171"/>
      <c r="K189" s="172"/>
    </row>
    <row r="190" spans="1:11" ht="30" customHeight="1">
      <c r="A190" s="193" t="s">
        <v>474</v>
      </c>
      <c r="B190" s="194"/>
      <c r="C190" s="195"/>
      <c r="D190" s="196">
        <f>SUM(D69:D189)</f>
        <v>1090370.0799999998</v>
      </c>
      <c r="E190" s="193"/>
      <c r="F190" s="195"/>
      <c r="G190" s="196">
        <f>SUM(G69:G189)</f>
        <v>760695.2319999998</v>
      </c>
      <c r="H190" s="197"/>
      <c r="I190" s="198"/>
      <c r="J190" s="198"/>
      <c r="K190" s="199"/>
    </row>
    <row r="191" spans="1:11" ht="30" customHeight="1">
      <c r="A191" s="218" t="s">
        <v>327</v>
      </c>
      <c r="B191" s="219" t="s">
        <v>475</v>
      </c>
      <c r="C191" s="169" t="s">
        <v>148</v>
      </c>
      <c r="D191" s="186">
        <f>797.3*1.48-0.004+250</f>
        <v>1430</v>
      </c>
      <c r="E191" s="166"/>
      <c r="F191" s="166"/>
      <c r="G191" s="172">
        <v>1175.8</v>
      </c>
      <c r="H191" s="180"/>
      <c r="I191" s="169"/>
      <c r="J191" s="200" t="s">
        <v>476</v>
      </c>
      <c r="K191" s="220" t="s">
        <v>477</v>
      </c>
    </row>
    <row r="192" spans="1:11" ht="30" customHeight="1">
      <c r="A192" s="221" t="s">
        <v>327</v>
      </c>
      <c r="B192" s="170" t="s">
        <v>478</v>
      </c>
      <c r="C192" s="169" t="s">
        <v>148</v>
      </c>
      <c r="D192" s="186">
        <f>700+250</f>
        <v>950</v>
      </c>
      <c r="E192" s="166"/>
      <c r="F192" s="166"/>
      <c r="G192" s="172">
        <v>377.8</v>
      </c>
      <c r="H192" s="180"/>
      <c r="I192" s="169"/>
      <c r="J192" s="203"/>
      <c r="K192" s="222"/>
    </row>
    <row r="193" spans="1:11" ht="30" customHeight="1">
      <c r="A193" s="221" t="s">
        <v>479</v>
      </c>
      <c r="B193" s="182" t="s">
        <v>480</v>
      </c>
      <c r="C193" s="171" t="s">
        <v>238</v>
      </c>
      <c r="D193" s="211">
        <f>1048*(4+7.5)</f>
        <v>12052</v>
      </c>
      <c r="E193" s="166"/>
      <c r="F193" s="166"/>
      <c r="G193" s="172">
        <v>9453</v>
      </c>
      <c r="H193" s="180"/>
      <c r="I193" s="169"/>
      <c r="J193" s="203"/>
      <c r="K193" s="222"/>
    </row>
    <row r="194" spans="1:11" ht="30" customHeight="1">
      <c r="A194" s="223" t="s">
        <v>481</v>
      </c>
      <c r="B194" s="182" t="s">
        <v>482</v>
      </c>
      <c r="C194" s="169" t="s">
        <v>483</v>
      </c>
      <c r="D194" s="211">
        <f>65*6.94</f>
        <v>451.1</v>
      </c>
      <c r="E194" s="166"/>
      <c r="F194" s="166"/>
      <c r="G194" s="172">
        <v>451.1</v>
      </c>
      <c r="H194" s="180"/>
      <c r="I194" s="169"/>
      <c r="J194" s="201"/>
      <c r="K194" s="224"/>
    </row>
    <row r="195" spans="1:11" ht="30" customHeight="1">
      <c r="A195" s="223" t="s">
        <v>484</v>
      </c>
      <c r="B195" s="182" t="s">
        <v>485</v>
      </c>
      <c r="C195" s="169" t="s">
        <v>483</v>
      </c>
      <c r="D195" s="225">
        <v>3400</v>
      </c>
      <c r="E195" s="166"/>
      <c r="F195" s="166"/>
      <c r="G195" s="172">
        <v>3400</v>
      </c>
      <c r="H195" s="180"/>
      <c r="I195" s="169"/>
      <c r="J195" s="200" t="s">
        <v>476</v>
      </c>
      <c r="K195" s="220" t="s">
        <v>486</v>
      </c>
    </row>
    <row r="196" spans="1:11" ht="30" customHeight="1">
      <c r="A196" s="223" t="s">
        <v>288</v>
      </c>
      <c r="B196" s="182" t="s">
        <v>487</v>
      </c>
      <c r="C196" s="169" t="s">
        <v>483</v>
      </c>
      <c r="D196" s="225">
        <v>4500</v>
      </c>
      <c r="E196" s="166"/>
      <c r="F196" s="166"/>
      <c r="G196" s="172">
        <v>4500</v>
      </c>
      <c r="H196" s="180"/>
      <c r="I196" s="169"/>
      <c r="J196" s="203"/>
      <c r="K196" s="222"/>
    </row>
    <row r="197" spans="1:11" ht="30" customHeight="1">
      <c r="A197" s="223" t="s">
        <v>488</v>
      </c>
      <c r="B197" s="182" t="s">
        <v>489</v>
      </c>
      <c r="C197" s="169" t="s">
        <v>483</v>
      </c>
      <c r="D197" s="211">
        <v>3186</v>
      </c>
      <c r="E197" s="166"/>
      <c r="F197" s="166"/>
      <c r="G197" s="172">
        <v>3186</v>
      </c>
      <c r="H197" s="180"/>
      <c r="I197" s="169"/>
      <c r="J197" s="203"/>
      <c r="K197" s="222"/>
    </row>
    <row r="198" spans="1:11" ht="30" customHeight="1">
      <c r="A198" s="223" t="s">
        <v>488</v>
      </c>
      <c r="B198" s="182" t="s">
        <v>490</v>
      </c>
      <c r="C198" s="169" t="s">
        <v>483</v>
      </c>
      <c r="D198" s="211">
        <v>2509.86</v>
      </c>
      <c r="E198" s="166"/>
      <c r="F198" s="166"/>
      <c r="G198" s="172">
        <v>2509.86</v>
      </c>
      <c r="H198" s="180"/>
      <c r="I198" s="169"/>
      <c r="J198" s="203"/>
      <c r="K198" s="222"/>
    </row>
    <row r="199" spans="1:11" ht="30" customHeight="1">
      <c r="A199" s="223" t="s">
        <v>491</v>
      </c>
      <c r="B199" s="182" t="s">
        <v>492</v>
      </c>
      <c r="C199" s="169" t="s">
        <v>483</v>
      </c>
      <c r="D199" s="211">
        <v>1492.76</v>
      </c>
      <c r="E199" s="166"/>
      <c r="F199" s="166"/>
      <c r="G199" s="172">
        <v>1492.76</v>
      </c>
      <c r="H199" s="180"/>
      <c r="I199" s="169"/>
      <c r="J199" s="201"/>
      <c r="K199" s="224"/>
    </row>
    <row r="200" spans="1:11" ht="30" customHeight="1">
      <c r="A200" s="223" t="s">
        <v>327</v>
      </c>
      <c r="B200" s="182" t="s">
        <v>493</v>
      </c>
      <c r="C200" s="169" t="s">
        <v>148</v>
      </c>
      <c r="D200" s="225">
        <v>500</v>
      </c>
      <c r="E200" s="166"/>
      <c r="F200" s="166"/>
      <c r="G200" s="172">
        <v>336</v>
      </c>
      <c r="H200" s="180"/>
      <c r="I200" s="169"/>
      <c r="J200" s="200" t="s">
        <v>476</v>
      </c>
      <c r="K200" s="220" t="s">
        <v>494</v>
      </c>
    </row>
    <row r="201" spans="1:11" ht="30" customHeight="1">
      <c r="A201" s="223" t="s">
        <v>327</v>
      </c>
      <c r="B201" s="182" t="s">
        <v>495</v>
      </c>
      <c r="C201" s="169" t="s">
        <v>148</v>
      </c>
      <c r="D201" s="225">
        <v>350</v>
      </c>
      <c r="E201" s="166"/>
      <c r="F201" s="166"/>
      <c r="G201" s="172">
        <v>0</v>
      </c>
      <c r="H201" s="180"/>
      <c r="I201" s="169"/>
      <c r="J201" s="203"/>
      <c r="K201" s="222"/>
    </row>
    <row r="202" spans="1:11" ht="30" customHeight="1">
      <c r="A202" s="223" t="s">
        <v>481</v>
      </c>
      <c r="B202" s="182" t="s">
        <v>496</v>
      </c>
      <c r="C202" s="169" t="s">
        <v>483</v>
      </c>
      <c r="D202" s="225">
        <f>700*1.2</f>
        <v>840</v>
      </c>
      <c r="E202" s="166"/>
      <c r="F202" s="166"/>
      <c r="G202" s="172">
        <v>840</v>
      </c>
      <c r="H202" s="180"/>
      <c r="I202" s="169"/>
      <c r="J202" s="201"/>
      <c r="K202" s="224"/>
    </row>
    <row r="203" spans="1:11" ht="30" customHeight="1">
      <c r="A203" s="193" t="s">
        <v>497</v>
      </c>
      <c r="B203" s="194"/>
      <c r="C203" s="195"/>
      <c r="D203" s="196">
        <f>SUM(D191:D202)</f>
        <v>31661.719999999998</v>
      </c>
      <c r="E203" s="193"/>
      <c r="F203" s="195"/>
      <c r="G203" s="196">
        <f>SUM(G191:G202)</f>
        <v>27722.32</v>
      </c>
      <c r="H203" s="197"/>
      <c r="I203" s="198"/>
      <c r="J203" s="198"/>
      <c r="K203" s="199"/>
    </row>
    <row r="204" spans="1:11" ht="30" customHeight="1">
      <c r="A204" s="226" t="s">
        <v>12</v>
      </c>
      <c r="B204" s="226"/>
      <c r="C204" s="226"/>
      <c r="D204" s="173">
        <f>D190+D68+D203</f>
        <v>1273774.2999999998</v>
      </c>
      <c r="E204" s="227"/>
      <c r="F204" s="228"/>
      <c r="G204" s="173">
        <f>G190+G68+G203</f>
        <v>933037.5119999998</v>
      </c>
      <c r="H204" s="173"/>
      <c r="I204" s="229"/>
      <c r="J204" s="229"/>
      <c r="K204" s="230"/>
    </row>
    <row r="205" spans="1:11" ht="41.25" customHeight="1">
      <c r="A205" s="231" t="s">
        <v>498</v>
      </c>
      <c r="B205" s="232"/>
      <c r="C205" s="232"/>
      <c r="D205" s="232"/>
      <c r="E205" s="232"/>
      <c r="F205" s="232"/>
      <c r="G205" s="232"/>
      <c r="H205" s="232"/>
      <c r="I205" s="232"/>
      <c r="J205" s="232"/>
      <c r="K205" s="232"/>
    </row>
    <row r="206" spans="1:11" ht="36.75" customHeight="1">
      <c r="A206" s="233" t="s">
        <v>499</v>
      </c>
      <c r="B206" s="234"/>
      <c r="C206" s="234"/>
      <c r="D206" s="234"/>
      <c r="E206" s="234"/>
      <c r="F206" s="234"/>
      <c r="G206" s="234"/>
      <c r="H206" s="234"/>
      <c r="I206" s="234"/>
      <c r="J206" s="234"/>
      <c r="K206" s="234"/>
    </row>
  </sheetData>
  <sheetProtection/>
  <mergeCells count="28">
    <mergeCell ref="A203:C203"/>
    <mergeCell ref="E203:F203"/>
    <mergeCell ref="A204:C204"/>
    <mergeCell ref="E204:F204"/>
    <mergeCell ref="A205:K205"/>
    <mergeCell ref="A206:K206"/>
    <mergeCell ref="J191:J194"/>
    <mergeCell ref="K191:K194"/>
    <mergeCell ref="J195:J199"/>
    <mergeCell ref="K195:K199"/>
    <mergeCell ref="J200:J202"/>
    <mergeCell ref="K200:K202"/>
    <mergeCell ref="C59:C60"/>
    <mergeCell ref="A68:C68"/>
    <mergeCell ref="E68:F68"/>
    <mergeCell ref="C70:C71"/>
    <mergeCell ref="C72:C87"/>
    <mergeCell ref="A190:C190"/>
    <mergeCell ref="E190:F190"/>
    <mergeCell ref="A1:K1"/>
    <mergeCell ref="A2:K2"/>
    <mergeCell ref="A3:A4"/>
    <mergeCell ref="B3:B4"/>
    <mergeCell ref="C3:C4"/>
    <mergeCell ref="D3:F3"/>
    <mergeCell ref="G3:I3"/>
    <mergeCell ref="J3:J4"/>
    <mergeCell ref="K3:K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92D050"/>
  </sheetPr>
  <dimension ref="A1:P57"/>
  <sheetViews>
    <sheetView view="pageBreakPreview" zoomScaleSheetLayoutView="100" zoomScalePageLayoutView="0" workbookViewId="0" topLeftCell="A1">
      <pane ySplit="5" topLeftCell="A6" activePane="bottomLeft" state="frozen"/>
      <selection pane="topLeft" activeCell="A1" sqref="A1"/>
      <selection pane="bottomLeft" activeCell="M27" sqref="M27"/>
    </sheetView>
  </sheetViews>
  <sheetFormatPr defaultColWidth="9.140625" defaultRowHeight="15"/>
  <cols>
    <col min="1" max="1" width="46.28125" style="41" bestFit="1" customWidth="1"/>
    <col min="2" max="2" width="12.7109375" style="41" bestFit="1" customWidth="1"/>
    <col min="3" max="3" width="19.8515625" style="41" bestFit="1" customWidth="1"/>
    <col min="4" max="4" width="10.7109375" style="41" bestFit="1" customWidth="1"/>
    <col min="5" max="5" width="6.00390625" style="41" customWidth="1"/>
    <col min="6" max="6" width="13.421875" style="61" bestFit="1" customWidth="1"/>
    <col min="7" max="7" width="19.28125" style="61" bestFit="1" customWidth="1"/>
    <col min="8" max="8" width="12.140625" style="61" bestFit="1" customWidth="1"/>
    <col min="9" max="9" width="8.8515625" style="61" customWidth="1"/>
    <col min="10" max="10" width="13.421875" style="61" bestFit="1" customWidth="1"/>
    <col min="11" max="11" width="19.28125" style="61" bestFit="1" customWidth="1"/>
    <col min="12" max="12" width="12.00390625" style="61" customWidth="1"/>
    <col min="13" max="13" width="15.28125" style="41" bestFit="1" customWidth="1"/>
    <col min="14" max="14" width="9.421875" style="41" bestFit="1" customWidth="1"/>
    <col min="15" max="16384" width="9.140625" style="41" customWidth="1"/>
  </cols>
  <sheetData>
    <row r="1" spans="1:12" s="40" customFormat="1" ht="26.25" customHeight="1">
      <c r="A1" s="111" t="s">
        <v>95</v>
      </c>
      <c r="B1" s="111"/>
      <c r="C1" s="111"/>
      <c r="D1" s="111"/>
      <c r="E1" s="111"/>
      <c r="F1" s="111"/>
      <c r="G1" s="111"/>
      <c r="H1" s="111"/>
      <c r="I1" s="111"/>
      <c r="J1" s="111"/>
      <c r="K1" s="111"/>
      <c r="L1" s="111"/>
    </row>
    <row r="2" spans="1:12" ht="71.25" customHeight="1">
      <c r="A2" s="118" t="s">
        <v>103</v>
      </c>
      <c r="B2" s="118"/>
      <c r="C2" s="118"/>
      <c r="D2" s="118"/>
      <c r="E2" s="118"/>
      <c r="F2" s="118"/>
      <c r="G2" s="118"/>
      <c r="H2" s="118"/>
      <c r="I2" s="118"/>
      <c r="J2" s="118"/>
      <c r="K2" s="118"/>
      <c r="L2" s="118"/>
    </row>
    <row r="3" spans="1:12" ht="15.75" thickBot="1">
      <c r="A3" s="119" t="s">
        <v>9</v>
      </c>
      <c r="B3" s="119"/>
      <c r="C3" s="119"/>
      <c r="D3" s="119"/>
      <c r="E3" s="119"/>
      <c r="F3" s="119"/>
      <c r="G3" s="119"/>
      <c r="H3" s="119"/>
      <c r="I3" s="119"/>
      <c r="J3" s="119"/>
      <c r="K3" s="119"/>
      <c r="L3" s="119"/>
    </row>
    <row r="4" spans="1:12" ht="18.75" customHeight="1">
      <c r="A4" s="112" t="s">
        <v>19</v>
      </c>
      <c r="B4" s="110" t="s">
        <v>6</v>
      </c>
      <c r="C4" s="110"/>
      <c r="D4" s="110"/>
      <c r="E4" s="104"/>
      <c r="F4" s="116" t="s">
        <v>7</v>
      </c>
      <c r="G4" s="116"/>
      <c r="H4" s="116"/>
      <c r="I4" s="107"/>
      <c r="J4" s="110" t="s">
        <v>8</v>
      </c>
      <c r="K4" s="110"/>
      <c r="L4" s="117"/>
    </row>
    <row r="5" spans="1:12" ht="60">
      <c r="A5" s="113"/>
      <c r="B5" s="25" t="s">
        <v>72</v>
      </c>
      <c r="C5" s="25" t="s">
        <v>73</v>
      </c>
      <c r="D5" s="25" t="s">
        <v>3</v>
      </c>
      <c r="E5" s="105"/>
      <c r="F5" s="57" t="s">
        <v>72</v>
      </c>
      <c r="G5" s="57" t="s">
        <v>73</v>
      </c>
      <c r="H5" s="70" t="s">
        <v>3</v>
      </c>
      <c r="I5" s="108"/>
      <c r="J5" s="57" t="s">
        <v>72</v>
      </c>
      <c r="K5" s="57" t="s">
        <v>73</v>
      </c>
      <c r="L5" s="88" t="s">
        <v>3</v>
      </c>
    </row>
    <row r="6" spans="1:16" s="44" customFormat="1" ht="18" customHeight="1">
      <c r="A6" s="42" t="s">
        <v>35</v>
      </c>
      <c r="B6" s="55">
        <f>B8+B9</f>
        <v>1885</v>
      </c>
      <c r="C6" s="55">
        <f>C8+C9</f>
        <v>1010</v>
      </c>
      <c r="D6" s="43"/>
      <c r="E6" s="105"/>
      <c r="F6" s="55">
        <f aca="true" t="shared" si="0" ref="F6:K6">F8+F9</f>
        <v>1835</v>
      </c>
      <c r="G6" s="55">
        <f t="shared" si="0"/>
        <v>1625</v>
      </c>
      <c r="H6" s="55">
        <f>H7+H17+H18+H19</f>
        <v>118.9295</v>
      </c>
      <c r="I6" s="108"/>
      <c r="J6" s="55">
        <f t="shared" si="0"/>
        <v>1802.18122</v>
      </c>
      <c r="K6" s="55">
        <f t="shared" si="0"/>
        <v>1782.76468</v>
      </c>
      <c r="L6" s="55">
        <f>L7+L17+L18+L19</f>
        <v>118.9295</v>
      </c>
      <c r="M6" s="69"/>
      <c r="P6" s="69"/>
    </row>
    <row r="7" spans="1:13" s="46" customFormat="1" ht="15.75" customHeight="1">
      <c r="A7" s="22" t="s">
        <v>36</v>
      </c>
      <c r="B7" s="45"/>
      <c r="C7" s="45"/>
      <c r="D7" s="45"/>
      <c r="E7" s="105"/>
      <c r="F7" s="56">
        <f>F8+F9+F16</f>
        <v>1835</v>
      </c>
      <c r="G7" s="56">
        <f>G8+G9+G16</f>
        <v>1625</v>
      </c>
      <c r="H7" s="56">
        <f>H8+H9+H16</f>
        <v>118.9295</v>
      </c>
      <c r="I7" s="108"/>
      <c r="J7" s="56">
        <f>J8+J9+J16</f>
        <v>1802.18122</v>
      </c>
      <c r="K7" s="56">
        <f>K8+K9+K16</f>
        <v>1782.76468</v>
      </c>
      <c r="L7" s="56">
        <f>L8+L9+L16</f>
        <v>118.9295</v>
      </c>
      <c r="M7" s="69"/>
    </row>
    <row r="8" spans="1:13" ht="15.75" customHeight="1">
      <c r="A8" s="47" t="s">
        <v>34</v>
      </c>
      <c r="B8" s="85">
        <f>B20</f>
        <v>1885</v>
      </c>
      <c r="C8" s="48"/>
      <c r="D8" s="48"/>
      <c r="E8" s="105"/>
      <c r="F8" s="58">
        <f>F20</f>
        <v>1835</v>
      </c>
      <c r="G8" s="85"/>
      <c r="H8" s="58"/>
      <c r="I8" s="108"/>
      <c r="J8" s="58">
        <f>J20</f>
        <v>1802.18122</v>
      </c>
      <c r="K8" s="85"/>
      <c r="L8" s="58"/>
      <c r="M8" s="69"/>
    </row>
    <row r="9" spans="1:13" ht="15.75" customHeight="1">
      <c r="A9" s="49" t="s">
        <v>37</v>
      </c>
      <c r="B9" s="48"/>
      <c r="C9" s="56">
        <f>C11+C14+C12+C13</f>
        <v>1010</v>
      </c>
      <c r="D9" s="48"/>
      <c r="E9" s="105"/>
      <c r="F9" s="56">
        <f>F10+F11+F12+F13+F14+F15</f>
        <v>0</v>
      </c>
      <c r="G9" s="56">
        <f>G10+G11+G12+G13+G14+G15</f>
        <v>1625</v>
      </c>
      <c r="H9" s="56">
        <f>H10+H11+H12+H13+H14+H15</f>
        <v>0</v>
      </c>
      <c r="I9" s="108"/>
      <c r="J9" s="56">
        <f>J10+J11+J12+J13+J14+J15</f>
        <v>0</v>
      </c>
      <c r="K9" s="56">
        <f>K10+K11+K12+K13+K14+K15</f>
        <v>1782.76468</v>
      </c>
      <c r="L9" s="56">
        <f>L10+L11+L12+L13+L14+L15</f>
        <v>0</v>
      </c>
      <c r="M9" s="69"/>
    </row>
    <row r="10" spans="1:13" s="46" customFormat="1" ht="15.75" customHeight="1">
      <c r="A10" s="50" t="s">
        <v>38</v>
      </c>
      <c r="B10" s="45"/>
      <c r="C10" s="45"/>
      <c r="D10" s="45"/>
      <c r="E10" s="105"/>
      <c r="F10" s="56"/>
      <c r="G10" s="58"/>
      <c r="H10" s="56"/>
      <c r="I10" s="108"/>
      <c r="J10" s="56"/>
      <c r="K10" s="56"/>
      <c r="L10" s="89"/>
      <c r="M10" s="69"/>
    </row>
    <row r="11" spans="1:13" ht="15.75" customHeight="1">
      <c r="A11" s="51" t="s">
        <v>39</v>
      </c>
      <c r="B11" s="48">
        <v>0</v>
      </c>
      <c r="C11" s="48">
        <v>915</v>
      </c>
      <c r="D11" s="48"/>
      <c r="E11" s="105"/>
      <c r="F11" s="58">
        <v>0</v>
      </c>
      <c r="G11" s="58">
        <v>1615</v>
      </c>
      <c r="H11" s="58"/>
      <c r="I11" s="108"/>
      <c r="J11" s="58"/>
      <c r="K11" s="58">
        <v>1680.05414</v>
      </c>
      <c r="L11" s="90"/>
      <c r="M11" s="69"/>
    </row>
    <row r="12" spans="1:13" ht="15.75" customHeight="1">
      <c r="A12" s="67" t="s">
        <v>40</v>
      </c>
      <c r="B12" s="48">
        <v>0</v>
      </c>
      <c r="C12" s="48">
        <v>95</v>
      </c>
      <c r="D12" s="48"/>
      <c r="E12" s="105"/>
      <c r="F12" s="58">
        <v>0</v>
      </c>
      <c r="G12" s="58">
        <v>10</v>
      </c>
      <c r="H12" s="58"/>
      <c r="I12" s="108"/>
      <c r="J12" s="58"/>
      <c r="K12" s="58">
        <v>101.83879999999999</v>
      </c>
      <c r="L12" s="90"/>
      <c r="M12" s="69"/>
    </row>
    <row r="13" spans="1:13" ht="15.75" customHeight="1">
      <c r="A13" s="51" t="s">
        <v>41</v>
      </c>
      <c r="B13" s="48"/>
      <c r="C13" s="48"/>
      <c r="D13" s="48"/>
      <c r="E13" s="105"/>
      <c r="F13" s="58"/>
      <c r="G13" s="58"/>
      <c r="H13" s="58"/>
      <c r="I13" s="108"/>
      <c r="J13" s="58"/>
      <c r="K13" s="58">
        <v>0</v>
      </c>
      <c r="L13" s="90"/>
      <c r="M13" s="69"/>
    </row>
    <row r="14" spans="1:13" ht="15.75" customHeight="1">
      <c r="A14" s="67" t="s">
        <v>42</v>
      </c>
      <c r="B14" s="48"/>
      <c r="C14" s="48"/>
      <c r="D14" s="48"/>
      <c r="E14" s="105"/>
      <c r="F14" s="58"/>
      <c r="G14" s="58"/>
      <c r="H14" s="58"/>
      <c r="I14" s="108"/>
      <c r="J14" s="58"/>
      <c r="K14" s="58">
        <v>0.8717399999999998</v>
      </c>
      <c r="L14" s="90"/>
      <c r="M14" s="69"/>
    </row>
    <row r="15" spans="1:13" ht="15.75" customHeight="1">
      <c r="A15" s="51" t="s">
        <v>98</v>
      </c>
      <c r="B15" s="48"/>
      <c r="C15" s="48"/>
      <c r="D15" s="48"/>
      <c r="E15" s="105"/>
      <c r="F15" s="58"/>
      <c r="G15" s="58"/>
      <c r="H15" s="58"/>
      <c r="I15" s="108"/>
      <c r="J15" s="58"/>
      <c r="K15" s="58"/>
      <c r="L15" s="90"/>
      <c r="M15" s="69"/>
    </row>
    <row r="16" spans="1:13" ht="15.75" customHeight="1">
      <c r="A16" s="49" t="s">
        <v>3</v>
      </c>
      <c r="B16" s="48"/>
      <c r="C16" s="48"/>
      <c r="D16" s="48"/>
      <c r="E16" s="105"/>
      <c r="F16" s="58"/>
      <c r="G16" s="58"/>
      <c r="H16" s="90">
        <v>118.9295</v>
      </c>
      <c r="I16" s="108"/>
      <c r="J16" s="58"/>
      <c r="K16" s="58"/>
      <c r="L16" s="90">
        <v>118.9295</v>
      </c>
      <c r="M16" s="69"/>
    </row>
    <row r="17" spans="1:13" s="46" customFormat="1" ht="15.75" customHeight="1">
      <c r="A17" s="22" t="s">
        <v>43</v>
      </c>
      <c r="B17" s="45"/>
      <c r="C17" s="45"/>
      <c r="D17" s="45"/>
      <c r="E17" s="105"/>
      <c r="F17" s="56"/>
      <c r="G17" s="58"/>
      <c r="H17" s="56"/>
      <c r="I17" s="108"/>
      <c r="J17" s="56"/>
      <c r="K17" s="56"/>
      <c r="L17" s="89"/>
      <c r="M17" s="69"/>
    </row>
    <row r="18" spans="1:13" s="46" customFormat="1" ht="15.75" customHeight="1">
      <c r="A18" s="22" t="s">
        <v>44</v>
      </c>
      <c r="B18" s="45"/>
      <c r="C18" s="45"/>
      <c r="D18" s="45"/>
      <c r="E18" s="105"/>
      <c r="F18" s="56"/>
      <c r="G18" s="58"/>
      <c r="H18" s="56"/>
      <c r="I18" s="108"/>
      <c r="J18" s="56"/>
      <c r="K18" s="56"/>
      <c r="L18" s="89"/>
      <c r="M18" s="69"/>
    </row>
    <row r="19" spans="1:13" s="46" customFormat="1" ht="15.75" customHeight="1">
      <c r="A19" s="22" t="s">
        <v>45</v>
      </c>
      <c r="B19" s="45"/>
      <c r="C19" s="45"/>
      <c r="D19" s="45"/>
      <c r="E19" s="105"/>
      <c r="F19" s="56"/>
      <c r="G19" s="58"/>
      <c r="H19" s="56"/>
      <c r="I19" s="108"/>
      <c r="J19" s="56"/>
      <c r="K19" s="56"/>
      <c r="L19" s="89"/>
      <c r="M19" s="69"/>
    </row>
    <row r="20" spans="1:14" s="44" customFormat="1" ht="15.75" customHeight="1">
      <c r="A20" s="42" t="s">
        <v>46</v>
      </c>
      <c r="B20" s="55">
        <f>B21+B45+B54</f>
        <v>1885</v>
      </c>
      <c r="C20" s="55">
        <f>C21+C45+C54</f>
        <v>2051</v>
      </c>
      <c r="D20" s="43"/>
      <c r="E20" s="105"/>
      <c r="F20" s="55">
        <f>F21+F45+F54</f>
        <v>1835</v>
      </c>
      <c r="G20" s="55">
        <f>G21+G45+G54</f>
        <v>3313.5</v>
      </c>
      <c r="H20" s="55">
        <f>H21+H45+H54</f>
        <v>118.9295</v>
      </c>
      <c r="I20" s="108"/>
      <c r="J20" s="55">
        <f>J21+J45+J54</f>
        <v>1802.18122</v>
      </c>
      <c r="K20" s="55">
        <f>K21+K45+K54</f>
        <v>2578.71774</v>
      </c>
      <c r="L20" s="55">
        <f>L21+L45+L54</f>
        <v>86.20632</v>
      </c>
      <c r="M20" s="69"/>
      <c r="N20" s="69"/>
    </row>
    <row r="21" spans="1:13" s="46" customFormat="1" ht="15.75" customHeight="1">
      <c r="A21" s="22" t="s">
        <v>47</v>
      </c>
      <c r="B21" s="56">
        <f>B22+B29+B43+B44</f>
        <v>1880</v>
      </c>
      <c r="C21" s="56">
        <f>C22+C29+C43+C44</f>
        <v>1852.5</v>
      </c>
      <c r="D21" s="45"/>
      <c r="E21" s="105"/>
      <c r="F21" s="56">
        <f>F22+F29+F43+F44+F42</f>
        <v>1830</v>
      </c>
      <c r="G21" s="56">
        <f>G22+G29+G43+G44+G42</f>
        <v>3051</v>
      </c>
      <c r="H21" s="56">
        <f>H22+H29+H43+H44</f>
        <v>118.9295</v>
      </c>
      <c r="I21" s="108"/>
      <c r="J21" s="56">
        <f>J22+J29+J43+J44+J42</f>
        <v>1797.38923</v>
      </c>
      <c r="K21" s="56">
        <f>K22+K29+K43+K44+K42</f>
        <v>2537.54046</v>
      </c>
      <c r="L21" s="56">
        <f>L22+L29+L43+L44</f>
        <v>86.20632</v>
      </c>
      <c r="M21" s="69"/>
    </row>
    <row r="22" spans="1:14" s="46" customFormat="1" ht="15.75" customHeight="1">
      <c r="A22" s="23" t="s">
        <v>2</v>
      </c>
      <c r="B22" s="56">
        <f>B23+B25+B24</f>
        <v>870</v>
      </c>
      <c r="C22" s="56">
        <f>C23+C25+C24</f>
        <v>74</v>
      </c>
      <c r="D22" s="45"/>
      <c r="E22" s="105"/>
      <c r="F22" s="56">
        <f>F23+F25+F24</f>
        <v>870</v>
      </c>
      <c r="G22" s="56">
        <f>G23+G25+G24</f>
        <v>74</v>
      </c>
      <c r="H22" s="56">
        <f>H23+H25+H24</f>
        <v>0</v>
      </c>
      <c r="I22" s="108"/>
      <c r="J22" s="56">
        <f>J23+J25+J24</f>
        <v>867.4045600000002</v>
      </c>
      <c r="K22" s="56">
        <f>K23+K25+K24</f>
        <v>19.16</v>
      </c>
      <c r="L22" s="56">
        <f>L23+L25+L24</f>
        <v>0</v>
      </c>
      <c r="M22" s="69"/>
      <c r="N22" s="71"/>
    </row>
    <row r="23" spans="1:13" ht="15.75" customHeight="1">
      <c r="A23" s="24" t="s">
        <v>22</v>
      </c>
      <c r="B23" s="58">
        <v>870</v>
      </c>
      <c r="C23" s="48">
        <v>54.84</v>
      </c>
      <c r="D23" s="48"/>
      <c r="E23" s="105"/>
      <c r="F23" s="58">
        <v>763.82</v>
      </c>
      <c r="G23" s="58">
        <v>54.84</v>
      </c>
      <c r="H23" s="58">
        <v>0</v>
      </c>
      <c r="I23" s="108"/>
      <c r="J23" s="58">
        <v>761.2245600000001</v>
      </c>
      <c r="K23" s="58">
        <v>0</v>
      </c>
      <c r="L23" s="90">
        <v>0</v>
      </c>
      <c r="M23" s="69"/>
    </row>
    <row r="24" spans="1:13" ht="15.75" customHeight="1">
      <c r="A24" s="24" t="s">
        <v>48</v>
      </c>
      <c r="B24" s="58"/>
      <c r="C24" s="48"/>
      <c r="D24" s="48"/>
      <c r="E24" s="105"/>
      <c r="F24" s="58">
        <v>0</v>
      </c>
      <c r="G24" s="58">
        <v>0</v>
      </c>
      <c r="H24" s="58">
        <v>0</v>
      </c>
      <c r="I24" s="108"/>
      <c r="J24" s="58">
        <v>0</v>
      </c>
      <c r="K24" s="58">
        <v>0</v>
      </c>
      <c r="L24" s="90"/>
      <c r="M24" s="69"/>
    </row>
    <row r="25" spans="1:13" ht="15.75" customHeight="1">
      <c r="A25" s="24" t="s">
        <v>24</v>
      </c>
      <c r="B25" s="58">
        <v>0</v>
      </c>
      <c r="C25" s="48">
        <v>19.16</v>
      </c>
      <c r="D25" s="48"/>
      <c r="E25" s="105"/>
      <c r="F25" s="58">
        <v>106.18</v>
      </c>
      <c r="G25" s="58">
        <v>19.16</v>
      </c>
      <c r="H25" s="58">
        <v>0</v>
      </c>
      <c r="I25" s="108"/>
      <c r="J25" s="58">
        <v>106.18</v>
      </c>
      <c r="K25" s="58">
        <v>19.16</v>
      </c>
      <c r="L25" s="90">
        <v>0</v>
      </c>
      <c r="M25" s="69"/>
    </row>
    <row r="26" spans="1:13" ht="15.75" customHeight="1">
      <c r="A26" s="24" t="s">
        <v>23</v>
      </c>
      <c r="B26" s="48"/>
      <c r="C26" s="48"/>
      <c r="D26" s="48"/>
      <c r="E26" s="105"/>
      <c r="F26" s="58">
        <v>0</v>
      </c>
      <c r="G26" s="58">
        <v>0</v>
      </c>
      <c r="H26" s="58"/>
      <c r="I26" s="108"/>
      <c r="J26" s="58"/>
      <c r="K26" s="58"/>
      <c r="L26" s="90"/>
      <c r="M26" s="69"/>
    </row>
    <row r="27" spans="1:13" ht="15.75" customHeight="1">
      <c r="A27" s="24" t="s">
        <v>49</v>
      </c>
      <c r="B27" s="48"/>
      <c r="C27" s="48"/>
      <c r="D27" s="48"/>
      <c r="E27" s="105"/>
      <c r="F27" s="58">
        <v>0</v>
      </c>
      <c r="G27" s="58">
        <v>0</v>
      </c>
      <c r="H27" s="58"/>
      <c r="I27" s="108"/>
      <c r="J27" s="58"/>
      <c r="K27" s="58"/>
      <c r="L27" s="90"/>
      <c r="M27" s="69"/>
    </row>
    <row r="28" spans="1:13" ht="15.75" customHeight="1">
      <c r="A28" s="24" t="s">
        <v>50</v>
      </c>
      <c r="B28" s="48"/>
      <c r="C28" s="48"/>
      <c r="D28" s="48"/>
      <c r="E28" s="105"/>
      <c r="F28" s="58">
        <v>0</v>
      </c>
      <c r="G28" s="58">
        <v>0</v>
      </c>
      <c r="H28" s="58"/>
      <c r="I28" s="108"/>
      <c r="J28" s="58"/>
      <c r="K28" s="58"/>
      <c r="L28" s="90"/>
      <c r="M28" s="69"/>
    </row>
    <row r="29" spans="1:13" s="46" customFormat="1" ht="15.75" customHeight="1">
      <c r="A29" s="23" t="s">
        <v>1</v>
      </c>
      <c r="B29" s="56">
        <f>B30+B31+B32+B33+B34+B37+B39+B36+B35</f>
        <v>1000</v>
      </c>
      <c r="C29" s="56">
        <f>C30+C31+C32+C33+C34+C37+C39+C36+C35</f>
        <v>1663.4</v>
      </c>
      <c r="D29" s="45"/>
      <c r="E29" s="105"/>
      <c r="F29" s="56">
        <f>F30+F31+F32+F33+F34+F37+F39+F36+F35</f>
        <v>959.45</v>
      </c>
      <c r="G29" s="56">
        <f>G30+G31+G32+G33+G34+G37+G39+G36+G35</f>
        <v>1596.8</v>
      </c>
      <c r="H29" s="56">
        <f>H30+H31+H32+H33+H34+H37+H39+H36+H35</f>
        <v>118.9295</v>
      </c>
      <c r="I29" s="108"/>
      <c r="J29" s="56">
        <f>J30+J31+J32+J33+J34+J37+J39+J36+J35</f>
        <v>929.4346699999999</v>
      </c>
      <c r="K29" s="56">
        <f>K30+K31+K32+K33+K34+K37+K39+K36+K35</f>
        <v>1212.7838800000002</v>
      </c>
      <c r="L29" s="56">
        <f>L30+L31+L32+L33+L34+L37+L39+L36+L35</f>
        <v>86.20632</v>
      </c>
      <c r="M29" s="69"/>
    </row>
    <row r="30" spans="1:13" ht="15.75" customHeight="1">
      <c r="A30" s="24" t="s">
        <v>51</v>
      </c>
      <c r="B30" s="48">
        <v>533</v>
      </c>
      <c r="C30" s="48">
        <v>365</v>
      </c>
      <c r="D30" s="48"/>
      <c r="E30" s="105"/>
      <c r="F30" s="59">
        <v>495.395</v>
      </c>
      <c r="G30" s="58">
        <v>375.088</v>
      </c>
      <c r="H30" s="58">
        <v>55.1015</v>
      </c>
      <c r="I30" s="108"/>
      <c r="J30" s="58">
        <v>485.39221999999995</v>
      </c>
      <c r="K30" s="58">
        <v>344.807</v>
      </c>
      <c r="L30" s="90">
        <v>43.41</v>
      </c>
      <c r="M30" s="69"/>
    </row>
    <row r="31" spans="1:13" ht="15.75" customHeight="1">
      <c r="A31" s="24" t="s">
        <v>52</v>
      </c>
      <c r="B31" s="52">
        <v>32</v>
      </c>
      <c r="C31" s="48">
        <v>5</v>
      </c>
      <c r="D31" s="48"/>
      <c r="E31" s="105"/>
      <c r="F31" s="59">
        <v>29</v>
      </c>
      <c r="G31" s="58">
        <v>5</v>
      </c>
      <c r="H31" s="58">
        <v>16.69</v>
      </c>
      <c r="I31" s="108"/>
      <c r="J31" s="58">
        <v>28.99116</v>
      </c>
      <c r="K31" s="58">
        <v>1.125</v>
      </c>
      <c r="L31" s="90">
        <v>15.375</v>
      </c>
      <c r="M31" s="69"/>
    </row>
    <row r="32" spans="1:13" ht="15.75" customHeight="1">
      <c r="A32" s="24" t="s">
        <v>53</v>
      </c>
      <c r="B32" s="48">
        <v>137.8</v>
      </c>
      <c r="C32" s="48">
        <v>388.2</v>
      </c>
      <c r="D32" s="48"/>
      <c r="E32" s="105"/>
      <c r="F32" s="58">
        <v>232.25</v>
      </c>
      <c r="G32" s="58">
        <v>388.2</v>
      </c>
      <c r="H32" s="58">
        <v>10.563</v>
      </c>
      <c r="I32" s="108"/>
      <c r="J32" s="58">
        <v>220.03596</v>
      </c>
      <c r="K32" s="58">
        <v>227.13928000000004</v>
      </c>
      <c r="L32" s="90">
        <v>1.2911</v>
      </c>
      <c r="M32" s="69"/>
    </row>
    <row r="33" spans="1:13" ht="15.75" customHeight="1">
      <c r="A33" s="24" t="s">
        <v>54</v>
      </c>
      <c r="B33" s="48">
        <v>5</v>
      </c>
      <c r="C33" s="48">
        <v>22</v>
      </c>
      <c r="D33" s="48"/>
      <c r="E33" s="105"/>
      <c r="F33" s="58">
        <v>5</v>
      </c>
      <c r="G33" s="58">
        <v>22</v>
      </c>
      <c r="H33" s="58">
        <v>0</v>
      </c>
      <c r="I33" s="108"/>
      <c r="J33" s="58">
        <v>4.8512200000000005</v>
      </c>
      <c r="K33" s="58">
        <v>15.97779</v>
      </c>
      <c r="L33" s="90">
        <v>0</v>
      </c>
      <c r="M33" s="69"/>
    </row>
    <row r="34" spans="1:13" ht="15.75" customHeight="1">
      <c r="A34" s="24" t="s">
        <v>55</v>
      </c>
      <c r="B34" s="48">
        <v>32</v>
      </c>
      <c r="C34" s="48">
        <v>358.7</v>
      </c>
      <c r="D34" s="48"/>
      <c r="E34" s="105"/>
      <c r="F34" s="58">
        <v>1.605</v>
      </c>
      <c r="G34" s="58">
        <v>364.7</v>
      </c>
      <c r="H34" s="58">
        <v>22.964</v>
      </c>
      <c r="I34" s="108"/>
      <c r="J34" s="58">
        <v>1.00326</v>
      </c>
      <c r="K34" s="58">
        <v>310.24534</v>
      </c>
      <c r="L34" s="90">
        <v>13.953</v>
      </c>
      <c r="M34" s="69"/>
    </row>
    <row r="35" spans="1:13" ht="15.75" customHeight="1">
      <c r="A35" s="24" t="s">
        <v>56</v>
      </c>
      <c r="B35" s="48">
        <v>0</v>
      </c>
      <c r="C35" s="48">
        <v>7</v>
      </c>
      <c r="D35" s="48"/>
      <c r="E35" s="105"/>
      <c r="F35" s="58">
        <v>0</v>
      </c>
      <c r="G35" s="58">
        <v>7</v>
      </c>
      <c r="H35" s="58">
        <v>0</v>
      </c>
      <c r="I35" s="108"/>
      <c r="J35" s="58">
        <v>0</v>
      </c>
      <c r="K35" s="58">
        <v>4.836720000000001</v>
      </c>
      <c r="L35" s="90">
        <v>0</v>
      </c>
      <c r="M35" s="69"/>
    </row>
    <row r="36" spans="1:13" ht="45">
      <c r="A36" s="24" t="s">
        <v>57</v>
      </c>
      <c r="B36" s="48">
        <v>0</v>
      </c>
      <c r="C36" s="48">
        <v>15</v>
      </c>
      <c r="D36" s="48"/>
      <c r="E36" s="105"/>
      <c r="F36" s="58">
        <v>0</v>
      </c>
      <c r="G36" s="58">
        <v>15</v>
      </c>
      <c r="H36" s="58">
        <v>0</v>
      </c>
      <c r="I36" s="108"/>
      <c r="J36" s="58">
        <v>0.375</v>
      </c>
      <c r="K36" s="58">
        <v>2.415</v>
      </c>
      <c r="L36" s="90">
        <v>0</v>
      </c>
      <c r="M36" s="69"/>
    </row>
    <row r="37" spans="1:13" ht="45">
      <c r="A37" s="24" t="s">
        <v>58</v>
      </c>
      <c r="B37" s="48">
        <v>5</v>
      </c>
      <c r="C37" s="48">
        <v>70</v>
      </c>
      <c r="D37" s="48"/>
      <c r="E37" s="105"/>
      <c r="F37" s="58">
        <v>8</v>
      </c>
      <c r="G37" s="58">
        <v>79.8</v>
      </c>
      <c r="H37" s="58">
        <v>2.811</v>
      </c>
      <c r="I37" s="108"/>
      <c r="J37" s="58">
        <v>8</v>
      </c>
      <c r="K37" s="58">
        <v>77.81255999999999</v>
      </c>
      <c r="L37" s="90">
        <v>1.5886</v>
      </c>
      <c r="M37" s="69"/>
    </row>
    <row r="38" spans="1:13" ht="30">
      <c r="A38" s="24" t="s">
        <v>74</v>
      </c>
      <c r="B38" s="52"/>
      <c r="C38" s="48"/>
      <c r="D38" s="48"/>
      <c r="E38" s="105"/>
      <c r="F38" s="59">
        <v>0</v>
      </c>
      <c r="G38" s="58">
        <v>0</v>
      </c>
      <c r="H38" s="58">
        <v>0</v>
      </c>
      <c r="I38" s="108"/>
      <c r="J38" s="58">
        <v>0</v>
      </c>
      <c r="K38" s="58">
        <v>0</v>
      </c>
      <c r="L38" s="90">
        <v>0</v>
      </c>
      <c r="M38" s="69"/>
    </row>
    <row r="39" spans="1:13" ht="15.75" customHeight="1">
      <c r="A39" s="68" t="s">
        <v>59</v>
      </c>
      <c r="B39" s="52">
        <v>255.2</v>
      </c>
      <c r="C39" s="48">
        <v>432.5</v>
      </c>
      <c r="D39" s="48"/>
      <c r="E39" s="105"/>
      <c r="F39" s="59">
        <v>188.2</v>
      </c>
      <c r="G39" s="58">
        <v>340.012</v>
      </c>
      <c r="H39" s="58">
        <v>10.8</v>
      </c>
      <c r="I39" s="108"/>
      <c r="J39" s="58">
        <v>180.78585</v>
      </c>
      <c r="K39" s="58">
        <v>228.42519000000001</v>
      </c>
      <c r="L39" s="90">
        <v>10.588619999999999</v>
      </c>
      <c r="M39" s="69"/>
    </row>
    <row r="40" spans="1:13" s="46" customFormat="1" ht="15.75" customHeight="1">
      <c r="A40" s="23" t="s">
        <v>60</v>
      </c>
      <c r="B40" s="45"/>
      <c r="C40" s="45"/>
      <c r="D40" s="45"/>
      <c r="E40" s="105"/>
      <c r="F40" s="56">
        <v>0</v>
      </c>
      <c r="G40" s="56">
        <v>0</v>
      </c>
      <c r="H40" s="56">
        <v>0</v>
      </c>
      <c r="I40" s="108"/>
      <c r="J40" s="56">
        <v>0</v>
      </c>
      <c r="K40" s="56">
        <v>0</v>
      </c>
      <c r="L40" s="89">
        <v>0</v>
      </c>
      <c r="M40" s="69"/>
    </row>
    <row r="41" spans="1:13" s="46" customFormat="1" ht="15.75" customHeight="1">
      <c r="A41" s="23" t="s">
        <v>4</v>
      </c>
      <c r="B41" s="45"/>
      <c r="C41" s="45"/>
      <c r="D41" s="45"/>
      <c r="E41" s="105"/>
      <c r="F41" s="56">
        <v>0</v>
      </c>
      <c r="G41" s="56">
        <v>0</v>
      </c>
      <c r="H41" s="56">
        <v>0</v>
      </c>
      <c r="I41" s="108"/>
      <c r="J41" s="56">
        <v>0</v>
      </c>
      <c r="K41" s="56">
        <v>0</v>
      </c>
      <c r="L41" s="89">
        <v>0</v>
      </c>
      <c r="M41" s="69"/>
    </row>
    <row r="42" spans="1:13" s="46" customFormat="1" ht="15.75" customHeight="1">
      <c r="A42" s="23" t="s">
        <v>3</v>
      </c>
      <c r="B42" s="45"/>
      <c r="C42" s="45"/>
      <c r="D42" s="45"/>
      <c r="E42" s="105"/>
      <c r="F42" s="56">
        <v>0</v>
      </c>
      <c r="G42" s="56">
        <v>1280.1</v>
      </c>
      <c r="H42" s="56">
        <v>0</v>
      </c>
      <c r="I42" s="108"/>
      <c r="J42" s="56">
        <v>0</v>
      </c>
      <c r="K42" s="56">
        <v>1279.653</v>
      </c>
      <c r="L42" s="89">
        <v>0</v>
      </c>
      <c r="M42" s="69"/>
    </row>
    <row r="43" spans="1:13" s="46" customFormat="1" ht="15.75" customHeight="1">
      <c r="A43" s="23" t="s">
        <v>5</v>
      </c>
      <c r="B43" s="45">
        <v>0</v>
      </c>
      <c r="C43" s="45">
        <v>40</v>
      </c>
      <c r="D43" s="45"/>
      <c r="E43" s="105"/>
      <c r="F43" s="56">
        <v>0</v>
      </c>
      <c r="G43" s="56">
        <v>25</v>
      </c>
      <c r="H43" s="56">
        <v>0</v>
      </c>
      <c r="I43" s="108"/>
      <c r="J43" s="56">
        <v>0</v>
      </c>
      <c r="K43" s="56">
        <v>17.67479</v>
      </c>
      <c r="L43" s="89">
        <v>0</v>
      </c>
      <c r="M43" s="69"/>
    </row>
    <row r="44" spans="1:13" s="46" customFormat="1" ht="15.75" customHeight="1">
      <c r="A44" s="23" t="s">
        <v>0</v>
      </c>
      <c r="B44" s="45">
        <v>10</v>
      </c>
      <c r="C44" s="45">
        <v>75.1</v>
      </c>
      <c r="D44" s="45"/>
      <c r="E44" s="105"/>
      <c r="F44" s="56">
        <v>0.55</v>
      </c>
      <c r="G44" s="56">
        <v>75.1</v>
      </c>
      <c r="H44" s="56">
        <v>0</v>
      </c>
      <c r="I44" s="108"/>
      <c r="J44" s="56">
        <v>0.55</v>
      </c>
      <c r="K44" s="56">
        <v>8.26879</v>
      </c>
      <c r="L44" s="89">
        <v>0</v>
      </c>
      <c r="M44" s="69"/>
    </row>
    <row r="45" spans="1:13" s="46" customFormat="1" ht="15.75" customHeight="1">
      <c r="A45" s="22" t="s">
        <v>61</v>
      </c>
      <c r="B45" s="56">
        <f>B46+B50+B51+B52</f>
        <v>5</v>
      </c>
      <c r="C45" s="56">
        <f>C46+C50+C51+C52</f>
        <v>198.5</v>
      </c>
      <c r="D45" s="45"/>
      <c r="E45" s="105"/>
      <c r="F45" s="56">
        <f>F46+F50+F51+F52</f>
        <v>5</v>
      </c>
      <c r="G45" s="56">
        <f>G46+G50+G51+G52</f>
        <v>262.5</v>
      </c>
      <c r="H45" s="56">
        <f>H46+H50+H51+H52</f>
        <v>0</v>
      </c>
      <c r="I45" s="108"/>
      <c r="J45" s="56">
        <f>J46+J50+J51+J52</f>
        <v>4.79199</v>
      </c>
      <c r="K45" s="56">
        <f>K46+K50+K51+K52</f>
        <v>41.17728</v>
      </c>
      <c r="L45" s="56">
        <f>L46+L50+L51+L52</f>
        <v>0</v>
      </c>
      <c r="M45" s="69"/>
    </row>
    <row r="46" spans="1:13" s="46" customFormat="1" ht="15.75" customHeight="1">
      <c r="A46" s="23" t="s">
        <v>62</v>
      </c>
      <c r="B46" s="45">
        <f>B47+B48+B49</f>
        <v>5</v>
      </c>
      <c r="C46" s="45">
        <f>C47+C48+C49</f>
        <v>198.5</v>
      </c>
      <c r="D46" s="45"/>
      <c r="E46" s="105"/>
      <c r="F46" s="45">
        <f>F47+F48+F49</f>
        <v>5</v>
      </c>
      <c r="G46" s="45">
        <f>G47+G48+G49</f>
        <v>262.5</v>
      </c>
      <c r="H46" s="45">
        <f>H47+H48+H49</f>
        <v>0</v>
      </c>
      <c r="I46" s="108"/>
      <c r="J46" s="56">
        <f>J47+J48+J49</f>
        <v>4.79199</v>
      </c>
      <c r="K46" s="56">
        <f>K47+K48+K49</f>
        <v>41.17728</v>
      </c>
      <c r="L46" s="56">
        <f>L47+L48+L49</f>
        <v>0</v>
      </c>
      <c r="M46" s="69"/>
    </row>
    <row r="47" spans="1:13" ht="15.75" customHeight="1">
      <c r="A47" s="24" t="s">
        <v>63</v>
      </c>
      <c r="B47" s="48">
        <v>0</v>
      </c>
      <c r="C47" s="53">
        <v>151</v>
      </c>
      <c r="D47" s="48"/>
      <c r="E47" s="105"/>
      <c r="F47" s="58">
        <v>0</v>
      </c>
      <c r="G47" s="58">
        <v>151</v>
      </c>
      <c r="H47" s="58">
        <v>0</v>
      </c>
      <c r="I47" s="108"/>
      <c r="J47" s="58">
        <v>0</v>
      </c>
      <c r="K47" s="58">
        <v>15.382790000000002</v>
      </c>
      <c r="L47" s="90">
        <v>0</v>
      </c>
      <c r="M47" s="69"/>
    </row>
    <row r="48" spans="1:13" ht="15.75" customHeight="1">
      <c r="A48" s="24" t="s">
        <v>64</v>
      </c>
      <c r="B48" s="48">
        <v>5</v>
      </c>
      <c r="C48" s="48">
        <v>42.5</v>
      </c>
      <c r="D48" s="48"/>
      <c r="E48" s="105"/>
      <c r="F48" s="58">
        <v>5</v>
      </c>
      <c r="G48" s="58">
        <v>106.5</v>
      </c>
      <c r="H48" s="58">
        <v>0</v>
      </c>
      <c r="I48" s="108"/>
      <c r="J48" s="58">
        <v>4.79199</v>
      </c>
      <c r="K48" s="58">
        <v>24.39699</v>
      </c>
      <c r="L48" s="90">
        <v>0</v>
      </c>
      <c r="M48" s="69"/>
    </row>
    <row r="49" spans="1:13" ht="15.75" customHeight="1">
      <c r="A49" s="24" t="s">
        <v>65</v>
      </c>
      <c r="B49" s="48">
        <v>0</v>
      </c>
      <c r="C49" s="48">
        <v>5</v>
      </c>
      <c r="D49" s="48"/>
      <c r="E49" s="105"/>
      <c r="F49" s="58">
        <v>0</v>
      </c>
      <c r="G49" s="58">
        <v>5</v>
      </c>
      <c r="H49" s="58">
        <v>0</v>
      </c>
      <c r="I49" s="108"/>
      <c r="J49" s="58">
        <v>0</v>
      </c>
      <c r="K49" s="58">
        <v>1.3975</v>
      </c>
      <c r="L49" s="90">
        <v>0</v>
      </c>
      <c r="M49" s="69"/>
    </row>
    <row r="50" spans="1:13" s="46" customFormat="1" ht="15.75" customHeight="1">
      <c r="A50" s="23" t="s">
        <v>66</v>
      </c>
      <c r="B50" s="45"/>
      <c r="C50" s="45"/>
      <c r="D50" s="45"/>
      <c r="E50" s="105"/>
      <c r="F50" s="56"/>
      <c r="G50" s="56"/>
      <c r="H50" s="56"/>
      <c r="I50" s="108"/>
      <c r="J50" s="56"/>
      <c r="K50" s="56"/>
      <c r="L50" s="89"/>
      <c r="M50" s="69"/>
    </row>
    <row r="51" spans="1:13" s="46" customFormat="1" ht="15.75" customHeight="1">
      <c r="A51" s="23" t="s">
        <v>67</v>
      </c>
      <c r="B51" s="45"/>
      <c r="C51" s="45"/>
      <c r="D51" s="45"/>
      <c r="E51" s="105"/>
      <c r="F51" s="56"/>
      <c r="G51" s="56"/>
      <c r="H51" s="56"/>
      <c r="I51" s="108"/>
      <c r="J51" s="56"/>
      <c r="K51" s="56"/>
      <c r="L51" s="89"/>
      <c r="M51" s="69"/>
    </row>
    <row r="52" spans="1:13" s="46" customFormat="1" ht="15.75" customHeight="1">
      <c r="A52" s="23" t="s">
        <v>68</v>
      </c>
      <c r="B52" s="45"/>
      <c r="C52" s="45"/>
      <c r="D52" s="45"/>
      <c r="E52" s="105"/>
      <c r="F52" s="56"/>
      <c r="G52" s="56"/>
      <c r="H52" s="56"/>
      <c r="I52" s="108"/>
      <c r="J52" s="56"/>
      <c r="K52" s="56"/>
      <c r="L52" s="89"/>
      <c r="M52" s="69"/>
    </row>
    <row r="53" spans="1:13" s="46" customFormat="1" ht="15.75" customHeight="1">
      <c r="A53" s="22" t="s">
        <v>69</v>
      </c>
      <c r="B53" s="45"/>
      <c r="C53" s="45"/>
      <c r="D53" s="45"/>
      <c r="E53" s="105"/>
      <c r="F53" s="56"/>
      <c r="G53" s="56"/>
      <c r="H53" s="56"/>
      <c r="I53" s="108"/>
      <c r="J53" s="56"/>
      <c r="K53" s="56"/>
      <c r="L53" s="89"/>
      <c r="M53" s="69"/>
    </row>
    <row r="54" spans="1:13" s="46" customFormat="1" ht="15.75" customHeight="1">
      <c r="A54" s="22" t="s">
        <v>70</v>
      </c>
      <c r="B54" s="45"/>
      <c r="C54" s="45"/>
      <c r="D54" s="45"/>
      <c r="E54" s="105"/>
      <c r="F54" s="56"/>
      <c r="G54" s="56"/>
      <c r="H54" s="56"/>
      <c r="I54" s="108"/>
      <c r="J54" s="56"/>
      <c r="K54" s="56"/>
      <c r="L54" s="89"/>
      <c r="M54" s="69"/>
    </row>
    <row r="55" spans="1:13" s="44" customFormat="1" ht="16.5" customHeight="1" thickBot="1">
      <c r="A55" s="26" t="s">
        <v>71</v>
      </c>
      <c r="B55" s="60">
        <f>B6-B20</f>
        <v>0</v>
      </c>
      <c r="C55" s="60">
        <f>C6-C20</f>
        <v>-1041</v>
      </c>
      <c r="D55" s="54"/>
      <c r="E55" s="106"/>
      <c r="F55" s="60">
        <f>F6-F20</f>
        <v>0</v>
      </c>
      <c r="G55" s="60">
        <f>G6-G20</f>
        <v>-1688.5</v>
      </c>
      <c r="H55" s="60"/>
      <c r="I55" s="109"/>
      <c r="J55" s="60">
        <f>J6-J20</f>
        <v>0</v>
      </c>
      <c r="K55" s="60">
        <f>K6-K20</f>
        <v>-795.95306</v>
      </c>
      <c r="L55" s="91"/>
      <c r="M55" s="69"/>
    </row>
    <row r="56" spans="1:13" ht="32.25" customHeight="1">
      <c r="A56" s="114" t="s">
        <v>96</v>
      </c>
      <c r="B56" s="114"/>
      <c r="C56" s="114"/>
      <c r="D56" s="114"/>
      <c r="E56" s="114"/>
      <c r="F56" s="114"/>
      <c r="G56" s="114"/>
      <c r="H56" s="114"/>
      <c r="I56" s="114"/>
      <c r="J56" s="114"/>
      <c r="K56" s="114"/>
      <c r="L56" s="114"/>
      <c r="M56" s="69"/>
    </row>
    <row r="57" spans="1:13" ht="32.25" customHeight="1">
      <c r="A57" s="115" t="s">
        <v>97</v>
      </c>
      <c r="B57" s="115"/>
      <c r="C57" s="115"/>
      <c r="D57" s="115"/>
      <c r="E57" s="115"/>
      <c r="F57" s="115"/>
      <c r="G57" s="115"/>
      <c r="H57" s="115"/>
      <c r="I57" s="115"/>
      <c r="J57" s="115"/>
      <c r="K57" s="115"/>
      <c r="L57" s="115"/>
      <c r="M57" s="69"/>
    </row>
  </sheetData>
  <sheetProtection/>
  <mergeCells count="11">
    <mergeCell ref="A57:L57"/>
    <mergeCell ref="F4:H4"/>
    <mergeCell ref="J4:L4"/>
    <mergeCell ref="A2:L2"/>
    <mergeCell ref="A3:L3"/>
    <mergeCell ref="E4:E55"/>
    <mergeCell ref="I4:I55"/>
    <mergeCell ref="B4:D4"/>
    <mergeCell ref="A1:L1"/>
    <mergeCell ref="A4:A5"/>
    <mergeCell ref="A56:L56"/>
  </mergeCells>
  <printOptions horizontalCentered="1"/>
  <pageMargins left="0.17" right="0.17" top="0.34" bottom="0.34" header="0.3" footer="0.3"/>
  <pageSetup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tabColor rgb="FF92D050"/>
  </sheetPr>
  <dimension ref="A1:O12"/>
  <sheetViews>
    <sheetView view="pageBreakPreview" zoomScale="110" zoomScaleSheetLayoutView="110" zoomScalePageLayoutView="0" workbookViewId="0" topLeftCell="A1">
      <selection activeCell="A11" sqref="A11:M11"/>
    </sheetView>
  </sheetViews>
  <sheetFormatPr defaultColWidth="9.140625" defaultRowHeight="15"/>
  <cols>
    <col min="1" max="1" width="23.28125" style="11" bestFit="1" customWidth="1"/>
    <col min="2" max="2" width="11.00390625" style="11" bestFit="1" customWidth="1"/>
    <col min="3" max="3" width="11.421875" style="11" bestFit="1" customWidth="1"/>
    <col min="4" max="4" width="11.8515625" style="11" bestFit="1" customWidth="1"/>
    <col min="5" max="9" width="12.00390625" style="11" bestFit="1" customWidth="1"/>
    <col min="10" max="13" width="13.421875" style="11" bestFit="1" customWidth="1"/>
    <col min="14" max="14" width="10.7109375" style="11" bestFit="1" customWidth="1"/>
    <col min="15" max="16384" width="9.140625" style="11" customWidth="1"/>
  </cols>
  <sheetData>
    <row r="1" spans="1:14" ht="31.5" customHeight="1">
      <c r="A1" s="102" t="s">
        <v>75</v>
      </c>
      <c r="B1" s="102"/>
      <c r="C1" s="102"/>
      <c r="D1" s="102"/>
      <c r="E1" s="102"/>
      <c r="F1" s="102"/>
      <c r="G1" s="102"/>
      <c r="H1" s="102"/>
      <c r="I1" s="102"/>
      <c r="J1" s="102"/>
      <c r="K1" s="102"/>
      <c r="L1" s="102"/>
      <c r="M1" s="102"/>
      <c r="N1" s="28"/>
    </row>
    <row r="2" spans="1:13" ht="82.5" customHeight="1">
      <c r="A2" s="99" t="s">
        <v>104</v>
      </c>
      <c r="B2" s="99"/>
      <c r="C2" s="99"/>
      <c r="D2" s="99"/>
      <c r="E2" s="99"/>
      <c r="F2" s="99"/>
      <c r="G2" s="99"/>
      <c r="H2" s="99"/>
      <c r="I2" s="99"/>
      <c r="J2" s="99"/>
      <c r="K2" s="99"/>
      <c r="L2" s="99"/>
      <c r="M2" s="99"/>
    </row>
    <row r="3" spans="1:13" ht="19.5" customHeight="1" thickBot="1">
      <c r="A3" s="100" t="s">
        <v>13</v>
      </c>
      <c r="B3" s="100"/>
      <c r="C3" s="100"/>
      <c r="D3" s="100"/>
      <c r="E3" s="100"/>
      <c r="F3" s="100"/>
      <c r="G3" s="100"/>
      <c r="H3" s="100"/>
      <c r="I3" s="100"/>
      <c r="J3" s="100"/>
      <c r="K3" s="100"/>
      <c r="L3" s="100"/>
      <c r="M3" s="100"/>
    </row>
    <row r="4" spans="1:13" s="13" customFormat="1" ht="15" customHeight="1">
      <c r="A4" s="125" t="s">
        <v>19</v>
      </c>
      <c r="B4" s="122" t="s">
        <v>20</v>
      </c>
      <c r="C4" s="123"/>
      <c r="D4" s="123"/>
      <c r="E4" s="124"/>
      <c r="F4" s="122" t="s">
        <v>88</v>
      </c>
      <c r="G4" s="123"/>
      <c r="H4" s="123"/>
      <c r="I4" s="124"/>
      <c r="J4" s="122" t="s">
        <v>21</v>
      </c>
      <c r="K4" s="123"/>
      <c r="L4" s="123"/>
      <c r="M4" s="124"/>
    </row>
    <row r="5" spans="1:13" s="13" customFormat="1" ht="15" customHeight="1">
      <c r="A5" s="126"/>
      <c r="B5" s="37" t="s">
        <v>84</v>
      </c>
      <c r="C5" s="32" t="s">
        <v>85</v>
      </c>
      <c r="D5" s="32" t="s">
        <v>86</v>
      </c>
      <c r="E5" s="35" t="s">
        <v>87</v>
      </c>
      <c r="F5" s="37" t="s">
        <v>84</v>
      </c>
      <c r="G5" s="32" t="s">
        <v>85</v>
      </c>
      <c r="H5" s="32" t="s">
        <v>86</v>
      </c>
      <c r="I5" s="35" t="s">
        <v>87</v>
      </c>
      <c r="J5" s="65" t="s">
        <v>84</v>
      </c>
      <c r="K5" s="32" t="s">
        <v>85</v>
      </c>
      <c r="L5" s="32" t="s">
        <v>86</v>
      </c>
      <c r="M5" s="35" t="s">
        <v>87</v>
      </c>
    </row>
    <row r="6" spans="1:15" s="79" customFormat="1" ht="29.25" customHeight="1">
      <c r="A6" s="39" t="s">
        <v>22</v>
      </c>
      <c r="B6" s="84">
        <v>9180</v>
      </c>
      <c r="C6" s="84">
        <f>3400*3</f>
        <v>10200</v>
      </c>
      <c r="D6" s="84">
        <f>3400*3</f>
        <v>10200</v>
      </c>
      <c r="E6" s="84">
        <v>10200</v>
      </c>
      <c r="F6" s="84">
        <f>190480.72-B6</f>
        <v>181300.72</v>
      </c>
      <c r="G6" s="84">
        <f>190379.47-C6</f>
        <v>180179.47</v>
      </c>
      <c r="H6" s="84">
        <f>191292.34-D6</f>
        <v>181092.34</v>
      </c>
      <c r="I6" s="84">
        <f>189072.03-10200</f>
        <v>178872.03</v>
      </c>
      <c r="J6" s="84">
        <f>F6+B6</f>
        <v>190480.72</v>
      </c>
      <c r="K6" s="84">
        <f>G6+C6</f>
        <v>190379.47</v>
      </c>
      <c r="L6" s="84">
        <f>H6+D6</f>
        <v>191292.34</v>
      </c>
      <c r="M6" s="84">
        <f>I6+E6</f>
        <v>189072.03</v>
      </c>
      <c r="O6" s="80"/>
    </row>
    <row r="7" spans="1:13" ht="29.25" customHeight="1">
      <c r="A7" s="39" t="s">
        <v>23</v>
      </c>
      <c r="B7" s="84"/>
      <c r="C7" s="84"/>
      <c r="D7" s="84"/>
      <c r="E7" s="84"/>
      <c r="F7" s="84"/>
      <c r="G7" s="84"/>
      <c r="H7" s="84"/>
      <c r="I7" s="84"/>
      <c r="J7" s="84"/>
      <c r="K7" s="84"/>
      <c r="L7" s="84"/>
      <c r="M7" s="84">
        <f>I7+E7</f>
        <v>0</v>
      </c>
    </row>
    <row r="8" spans="1:13" ht="29.25" customHeight="1">
      <c r="A8" s="39" t="s">
        <v>24</v>
      </c>
      <c r="B8" s="84">
        <v>1700</v>
      </c>
      <c r="C8" s="84"/>
      <c r="D8" s="84"/>
      <c r="E8" s="84">
        <v>3400</v>
      </c>
      <c r="F8" s="84">
        <f>62270-B8</f>
        <v>60570</v>
      </c>
      <c r="G8" s="84"/>
      <c r="H8" s="84"/>
      <c r="I8" s="84">
        <f>63070-3400</f>
        <v>59670</v>
      </c>
      <c r="J8" s="84">
        <f>F8+B8</f>
        <v>62270</v>
      </c>
      <c r="K8" s="84">
        <f>G8+C8</f>
        <v>0</v>
      </c>
      <c r="L8" s="84">
        <f>H8+D8</f>
        <v>0</v>
      </c>
      <c r="M8" s="84">
        <f>I8+E8</f>
        <v>63070</v>
      </c>
    </row>
    <row r="9" spans="1:14" s="12" customFormat="1" ht="29.25" customHeight="1" thickBot="1">
      <c r="A9" s="36" t="s">
        <v>12</v>
      </c>
      <c r="B9" s="15">
        <f>SUM(B6:B8)</f>
        <v>10880</v>
      </c>
      <c r="C9" s="15">
        <f aca="true" t="shared" si="0" ref="C9:I9">SUM(C6:C8)</f>
        <v>10200</v>
      </c>
      <c r="D9" s="15">
        <f t="shared" si="0"/>
        <v>10200</v>
      </c>
      <c r="E9" s="15">
        <f t="shared" si="0"/>
        <v>13600</v>
      </c>
      <c r="F9" s="15">
        <f t="shared" si="0"/>
        <v>241870.72</v>
      </c>
      <c r="G9" s="15">
        <f t="shared" si="0"/>
        <v>180179.47</v>
      </c>
      <c r="H9" s="15">
        <f t="shared" si="0"/>
        <v>181092.34</v>
      </c>
      <c r="I9" s="36">
        <f t="shared" si="0"/>
        <v>238542.03</v>
      </c>
      <c r="J9" s="66">
        <f>SUM(J6:J8)</f>
        <v>252750.72</v>
      </c>
      <c r="K9" s="64">
        <f>SUM(K6:K8)</f>
        <v>190379.47</v>
      </c>
      <c r="L9" s="62">
        <f>SUM(L6:L8)</f>
        <v>191292.34</v>
      </c>
      <c r="M9" s="62">
        <f>SUM(M6:M8)</f>
        <v>252142.03</v>
      </c>
      <c r="N9" s="63"/>
    </row>
    <row r="10" spans="1:14" ht="76.5" customHeight="1">
      <c r="A10" s="127" t="s">
        <v>99</v>
      </c>
      <c r="B10" s="128"/>
      <c r="C10" s="128"/>
      <c r="D10" s="128"/>
      <c r="E10" s="128"/>
      <c r="F10" s="128"/>
      <c r="G10" s="128"/>
      <c r="H10" s="128"/>
      <c r="I10" s="128"/>
      <c r="J10" s="128"/>
      <c r="K10" s="128"/>
      <c r="L10" s="128"/>
      <c r="M10" s="128"/>
      <c r="N10" s="38"/>
    </row>
    <row r="11" spans="1:14" ht="60" customHeight="1">
      <c r="A11" s="120" t="s">
        <v>100</v>
      </c>
      <c r="B11" s="121"/>
      <c r="C11" s="121"/>
      <c r="D11" s="121"/>
      <c r="E11" s="121"/>
      <c r="F11" s="121"/>
      <c r="G11" s="121"/>
      <c r="H11" s="121"/>
      <c r="I11" s="121"/>
      <c r="J11" s="121"/>
      <c r="K11" s="121"/>
      <c r="L11" s="121"/>
      <c r="M11" s="121"/>
      <c r="N11" s="38"/>
    </row>
    <row r="12" ht="12.75">
      <c r="N12" s="38"/>
    </row>
  </sheetData>
  <sheetProtection/>
  <mergeCells count="9">
    <mergeCell ref="A2:M2"/>
    <mergeCell ref="A3:M3"/>
    <mergeCell ref="A1:M1"/>
    <mergeCell ref="A11:M11"/>
    <mergeCell ref="B4:E4"/>
    <mergeCell ref="F4:I4"/>
    <mergeCell ref="J4:M4"/>
    <mergeCell ref="A4:A5"/>
    <mergeCell ref="A10:M10"/>
  </mergeCells>
  <printOptions horizontalCentered="1"/>
  <pageMargins left="0.7" right="0.7" top="0.75" bottom="0.75" header="0.3" footer="0.3"/>
  <pageSetup horizontalDpi="600" verticalDpi="600" orientation="landscape" scale="59" r:id="rId1"/>
</worksheet>
</file>

<file path=xl/worksheets/sheet5.xml><?xml version="1.0" encoding="utf-8"?>
<worksheet xmlns="http://schemas.openxmlformats.org/spreadsheetml/2006/main" xmlns:r="http://schemas.openxmlformats.org/officeDocument/2006/relationships">
  <sheetPr>
    <tabColor rgb="FF92D050"/>
  </sheetPr>
  <dimension ref="A1:E9"/>
  <sheetViews>
    <sheetView view="pageBreakPreview" zoomScale="120" zoomScaleSheetLayoutView="120" zoomScalePageLayoutView="0" workbookViewId="0" topLeftCell="A1">
      <selection activeCell="E6" sqref="E6"/>
    </sheetView>
  </sheetViews>
  <sheetFormatPr defaultColWidth="9.140625" defaultRowHeight="15"/>
  <cols>
    <col min="1" max="1" width="31.140625" style="11" customWidth="1"/>
    <col min="2" max="2" width="19.00390625" style="11" customWidth="1"/>
    <col min="3" max="3" width="22.421875" style="11" customWidth="1"/>
    <col min="4" max="4" width="14.28125" style="11" customWidth="1"/>
    <col min="5" max="5" width="9.7109375" style="11" bestFit="1" customWidth="1"/>
    <col min="6" max="16384" width="9.140625" style="11" customWidth="1"/>
  </cols>
  <sheetData>
    <row r="1" spans="1:5" ht="15.75">
      <c r="A1" s="101" t="s">
        <v>76</v>
      </c>
      <c r="B1" s="101"/>
      <c r="C1" s="101"/>
      <c r="D1" s="101"/>
      <c r="E1" s="28"/>
    </row>
    <row r="2" spans="1:4" ht="36" customHeight="1">
      <c r="A2" s="129" t="s">
        <v>105</v>
      </c>
      <c r="B2" s="129"/>
      <c r="C2" s="129"/>
      <c r="D2" s="129"/>
    </row>
    <row r="3" spans="1:4" ht="11.25" customHeight="1" thickBot="1">
      <c r="A3" s="100" t="s">
        <v>13</v>
      </c>
      <c r="B3" s="100"/>
      <c r="C3" s="100"/>
      <c r="D3" s="100"/>
    </row>
    <row r="4" spans="1:4" s="13" customFormat="1" ht="25.5">
      <c r="A4" s="72" t="s">
        <v>19</v>
      </c>
      <c r="B4" s="73" t="s">
        <v>20</v>
      </c>
      <c r="C4" s="73" t="s">
        <v>88</v>
      </c>
      <c r="D4" s="74" t="s">
        <v>21</v>
      </c>
    </row>
    <row r="5" spans="1:4" s="79" customFormat="1" ht="21" customHeight="1">
      <c r="A5" s="14" t="s">
        <v>25</v>
      </c>
      <c r="B5" s="78"/>
      <c r="C5" s="75">
        <v>42045</v>
      </c>
      <c r="D5" s="76">
        <f>B5+C5</f>
        <v>42045</v>
      </c>
    </row>
    <row r="6" spans="1:5" s="79" customFormat="1" ht="21" customHeight="1">
      <c r="A6" s="14" t="s">
        <v>26</v>
      </c>
      <c r="B6" s="78"/>
      <c r="C6" s="75">
        <v>3446.16</v>
      </c>
      <c r="D6" s="76">
        <f>B6+C6</f>
        <v>3446.16</v>
      </c>
      <c r="E6" s="80"/>
    </row>
    <row r="7" spans="1:5" s="83" customFormat="1" ht="21" customHeight="1" thickBot="1">
      <c r="A7" s="81" t="s">
        <v>12</v>
      </c>
      <c r="B7" s="77">
        <f>SUM(B5:B6)</f>
        <v>0</v>
      </c>
      <c r="C7" s="92">
        <f>SUM(C5:C6)</f>
        <v>45491.16</v>
      </c>
      <c r="D7" s="92">
        <f>SUM(D5:D6)</f>
        <v>45491.16</v>
      </c>
      <c r="E7" s="82"/>
    </row>
    <row r="8" spans="1:5" s="12" customFormat="1" ht="71.25" customHeight="1">
      <c r="A8" s="132" t="s">
        <v>102</v>
      </c>
      <c r="B8" s="132"/>
      <c r="C8" s="132"/>
      <c r="D8" s="132"/>
      <c r="E8" s="63"/>
    </row>
    <row r="9" spans="1:4" ht="58.5" customHeight="1">
      <c r="A9" s="130" t="s">
        <v>101</v>
      </c>
      <c r="B9" s="131"/>
      <c r="C9" s="131"/>
      <c r="D9" s="131"/>
    </row>
  </sheetData>
  <sheetProtection/>
  <mergeCells count="5">
    <mergeCell ref="A2:D2"/>
    <mergeCell ref="A3:D3"/>
    <mergeCell ref="A1:D1"/>
    <mergeCell ref="A9:D9"/>
    <mergeCell ref="A8:D8"/>
  </mergeCells>
  <printOptions horizontalCentered="1"/>
  <pageMargins left="0.17" right="0.1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AS10"/>
  <sheetViews>
    <sheetView view="pageBreakPreview" zoomScale="110" zoomScaleSheetLayoutView="110" zoomScalePageLayoutView="0" workbookViewId="0" topLeftCell="A1">
      <selection activeCell="B18" sqref="B18"/>
    </sheetView>
  </sheetViews>
  <sheetFormatPr defaultColWidth="9.140625" defaultRowHeight="15"/>
  <cols>
    <col min="1" max="1" width="3.00390625" style="17" bestFit="1" customWidth="1"/>
    <col min="2" max="2" width="39.8515625" style="17" customWidth="1"/>
    <col min="3" max="3" width="54.28125" style="17" customWidth="1"/>
    <col min="4" max="16384" width="9.140625" style="17" customWidth="1"/>
  </cols>
  <sheetData>
    <row r="1" spans="1:3" ht="27" customHeight="1">
      <c r="A1" s="102" t="s">
        <v>77</v>
      </c>
      <c r="B1" s="102"/>
      <c r="C1" s="102"/>
    </row>
    <row r="2" spans="1:3" s="10" customFormat="1" ht="78.75" customHeight="1" thickBot="1">
      <c r="A2" s="133" t="s">
        <v>132</v>
      </c>
      <c r="B2" s="133"/>
      <c r="C2" s="133"/>
    </row>
    <row r="3" spans="1:3" s="19" customFormat="1" ht="31.5" customHeight="1">
      <c r="A3" s="29" t="s">
        <v>16</v>
      </c>
      <c r="B3" s="30" t="s">
        <v>28</v>
      </c>
      <c r="C3" s="31" t="s">
        <v>27</v>
      </c>
    </row>
    <row r="4" spans="1:45" s="18" customFormat="1" ht="19.5" customHeight="1">
      <c r="A4" s="86">
        <v>1</v>
      </c>
      <c r="B4" s="87" t="s">
        <v>106</v>
      </c>
      <c r="C4" s="87">
        <v>2014</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row>
    <row r="5" spans="1:45" s="18" customFormat="1" ht="19.5" customHeight="1">
      <c r="A5" s="86">
        <v>2</v>
      </c>
      <c r="B5" s="87" t="s">
        <v>107</v>
      </c>
      <c r="C5" s="87">
        <v>2012</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row>
    <row r="6" spans="1:45" s="18" customFormat="1" ht="19.5" customHeight="1">
      <c r="A6" s="86">
        <v>3</v>
      </c>
      <c r="B6" s="87" t="s">
        <v>108</v>
      </c>
      <c r="C6" s="87">
        <v>2013</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s="18" customFormat="1" ht="19.5" customHeight="1">
      <c r="A7" s="86">
        <v>4</v>
      </c>
      <c r="B7" s="87" t="s">
        <v>106</v>
      </c>
      <c r="C7" s="87">
        <v>2015</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row>
    <row r="8" spans="1:45" s="18" customFormat="1" ht="19.5" customHeight="1">
      <c r="A8" s="86">
        <v>5</v>
      </c>
      <c r="B8" s="87" t="s">
        <v>109</v>
      </c>
      <c r="C8" s="87">
        <v>2015</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spans="1:45" s="18" customFormat="1" ht="19.5" customHeight="1" thickBot="1">
      <c r="A9" s="86">
        <v>6</v>
      </c>
      <c r="B9" s="87" t="s">
        <v>110</v>
      </c>
      <c r="C9" s="87">
        <v>2012</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row>
    <row r="10" spans="1:3" ht="34.5" customHeight="1">
      <c r="A10" s="134" t="s">
        <v>82</v>
      </c>
      <c r="B10" s="134"/>
      <c r="C10" s="134"/>
    </row>
  </sheetData>
  <sheetProtection/>
  <mergeCells count="3">
    <mergeCell ref="A2:C2"/>
    <mergeCell ref="A1:C1"/>
    <mergeCell ref="A10:C10"/>
  </mergeCells>
  <printOptions horizontalCentered="1"/>
  <pageMargins left="0.7" right="0.68"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92D050"/>
  </sheetPr>
  <dimension ref="A1:C544"/>
  <sheetViews>
    <sheetView view="pageBreakPreview" zoomScale="110" zoomScaleSheetLayoutView="110" zoomScalePageLayoutView="0" workbookViewId="0" topLeftCell="A1">
      <selection activeCell="A4" sqref="A4"/>
    </sheetView>
  </sheetViews>
  <sheetFormatPr defaultColWidth="9.140625" defaultRowHeight="15"/>
  <cols>
    <col min="1" max="1" width="85.28125" style="17" customWidth="1"/>
    <col min="2" max="2" width="19.7109375" style="18" customWidth="1"/>
    <col min="3" max="16384" width="9.140625" style="17" customWidth="1"/>
  </cols>
  <sheetData>
    <row r="1" spans="1:3" ht="42" customHeight="1">
      <c r="A1" s="102" t="s">
        <v>78</v>
      </c>
      <c r="B1" s="102"/>
      <c r="C1" s="28"/>
    </row>
    <row r="2" spans="1:2" s="10" customFormat="1" ht="78.75" customHeight="1">
      <c r="A2" s="135" t="s">
        <v>133</v>
      </c>
      <c r="B2" s="135"/>
    </row>
    <row r="3" spans="1:2" ht="24.75" customHeight="1">
      <c r="A3" s="136" t="s">
        <v>29</v>
      </c>
      <c r="B3" s="136"/>
    </row>
    <row r="4" spans="1:2" s="20" customFormat="1" ht="66.75" customHeight="1">
      <c r="A4" s="152" t="s">
        <v>111</v>
      </c>
      <c r="B4" s="153">
        <v>25554.62</v>
      </c>
    </row>
    <row r="5" spans="1:2" ht="48" customHeight="1">
      <c r="A5" s="137" t="s">
        <v>82</v>
      </c>
      <c r="B5" s="137"/>
    </row>
    <row r="6" ht="26.25" customHeight="1">
      <c r="B6" s="17"/>
    </row>
    <row r="7" ht="12.75">
      <c r="B7" s="17"/>
    </row>
    <row r="8" ht="12.75">
      <c r="B8" s="17"/>
    </row>
    <row r="9" ht="12.75">
      <c r="B9" s="17"/>
    </row>
    <row r="10" ht="12.75">
      <c r="B10" s="17"/>
    </row>
    <row r="11" ht="12.75">
      <c r="B11" s="17"/>
    </row>
    <row r="12" ht="12.75">
      <c r="B12" s="17"/>
    </row>
    <row r="13" ht="12.75">
      <c r="B13" s="17"/>
    </row>
    <row r="14" ht="12.75">
      <c r="B14" s="17"/>
    </row>
    <row r="15" ht="12.75">
      <c r="B15" s="17"/>
    </row>
    <row r="16" ht="12.75">
      <c r="B16" s="17"/>
    </row>
    <row r="17" ht="12.75">
      <c r="B17" s="17"/>
    </row>
    <row r="18" ht="12.75">
      <c r="B18" s="17"/>
    </row>
    <row r="19" ht="12.75">
      <c r="B19" s="17"/>
    </row>
    <row r="20" ht="12.75">
      <c r="B20" s="17"/>
    </row>
    <row r="21" ht="12.75">
      <c r="B21" s="17"/>
    </row>
    <row r="22" ht="12.75">
      <c r="B22" s="17"/>
    </row>
    <row r="23" ht="12.75">
      <c r="B23" s="17"/>
    </row>
    <row r="24" ht="12.75">
      <c r="B24" s="17"/>
    </row>
    <row r="25" ht="12.75">
      <c r="B25" s="17"/>
    </row>
    <row r="26" ht="12.75">
      <c r="B26" s="17"/>
    </row>
    <row r="27" ht="12.75">
      <c r="B27" s="17"/>
    </row>
    <row r="28" ht="12.75">
      <c r="B28" s="17"/>
    </row>
    <row r="29" ht="12.75">
      <c r="B29" s="17"/>
    </row>
    <row r="30" ht="12.75">
      <c r="B30" s="17"/>
    </row>
    <row r="31" ht="12.75">
      <c r="B31" s="17"/>
    </row>
    <row r="32" ht="12.75">
      <c r="B32" s="17"/>
    </row>
    <row r="33" ht="12.75">
      <c r="B33" s="17"/>
    </row>
    <row r="34" ht="12.75">
      <c r="B34" s="17"/>
    </row>
    <row r="35" ht="12.75">
      <c r="B35" s="17"/>
    </row>
    <row r="36" ht="12.75">
      <c r="B36" s="17"/>
    </row>
    <row r="37" ht="12.75">
      <c r="B37" s="17"/>
    </row>
    <row r="38" ht="12.75">
      <c r="B38" s="17"/>
    </row>
    <row r="39" ht="12.75">
      <c r="B39" s="17"/>
    </row>
    <row r="40" ht="12.75">
      <c r="B40" s="17"/>
    </row>
    <row r="41" ht="12.75">
      <c r="B41" s="17"/>
    </row>
    <row r="42" ht="12.75">
      <c r="B42" s="17"/>
    </row>
    <row r="43" ht="12.75">
      <c r="B43" s="17"/>
    </row>
    <row r="44" ht="12.75">
      <c r="B44" s="17"/>
    </row>
    <row r="45" ht="12.75">
      <c r="B45" s="17"/>
    </row>
    <row r="46" ht="12.75">
      <c r="B46" s="17"/>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row r="243" ht="12.75">
      <c r="B243" s="17"/>
    </row>
    <row r="244" ht="12.75">
      <c r="B244" s="17"/>
    </row>
    <row r="245" ht="12.75">
      <c r="B245" s="17"/>
    </row>
    <row r="246" ht="12.75">
      <c r="B246" s="17"/>
    </row>
    <row r="247" ht="12.75">
      <c r="B247" s="17"/>
    </row>
    <row r="248" ht="12.75">
      <c r="B248" s="17"/>
    </row>
    <row r="249" ht="12.75">
      <c r="B249" s="17"/>
    </row>
    <row r="250" ht="12.75">
      <c r="B250" s="17"/>
    </row>
    <row r="251" ht="12.75">
      <c r="B251" s="17"/>
    </row>
    <row r="252" ht="12.75">
      <c r="B252" s="17"/>
    </row>
    <row r="253" ht="12.75">
      <c r="B253" s="17"/>
    </row>
    <row r="254" ht="12.75">
      <c r="B254" s="17"/>
    </row>
    <row r="255" ht="12.75">
      <c r="B255" s="17"/>
    </row>
    <row r="256" ht="12.75">
      <c r="B256" s="17"/>
    </row>
    <row r="257" ht="12.75">
      <c r="B257" s="17"/>
    </row>
    <row r="258" ht="12.75">
      <c r="B258" s="17"/>
    </row>
    <row r="259" ht="12.75">
      <c r="B259" s="17"/>
    </row>
    <row r="260" ht="12.75">
      <c r="B260" s="17"/>
    </row>
    <row r="261" ht="12.75">
      <c r="B261" s="17"/>
    </row>
    <row r="262" ht="12.75">
      <c r="B262" s="17"/>
    </row>
    <row r="263" ht="12.75">
      <c r="B263" s="17"/>
    </row>
    <row r="264" ht="12.75">
      <c r="B264" s="17"/>
    </row>
    <row r="265" ht="12.75">
      <c r="B265" s="17"/>
    </row>
    <row r="266" ht="12.75">
      <c r="B266" s="17"/>
    </row>
    <row r="267" ht="12.75">
      <c r="B267" s="17"/>
    </row>
    <row r="268" ht="12.75">
      <c r="B268" s="17"/>
    </row>
    <row r="269" ht="12.75">
      <c r="B269" s="17"/>
    </row>
    <row r="270" ht="12.75">
      <c r="B270" s="17"/>
    </row>
    <row r="271" ht="12.75">
      <c r="B271" s="17"/>
    </row>
    <row r="272" ht="12.75">
      <c r="B272" s="17"/>
    </row>
    <row r="273" ht="12.75">
      <c r="B273" s="17"/>
    </row>
    <row r="274" ht="12.75">
      <c r="B274" s="17"/>
    </row>
    <row r="275" ht="12.75">
      <c r="B275" s="17"/>
    </row>
    <row r="276" ht="12.75">
      <c r="B276" s="17"/>
    </row>
    <row r="277" ht="12.75">
      <c r="B277" s="17"/>
    </row>
    <row r="278" ht="12.75">
      <c r="B278" s="17"/>
    </row>
    <row r="279" ht="12.75">
      <c r="B279" s="17"/>
    </row>
    <row r="280" ht="12.75">
      <c r="B280" s="17"/>
    </row>
    <row r="281" ht="12.75">
      <c r="B281" s="17"/>
    </row>
    <row r="282" ht="12.75">
      <c r="B282" s="17"/>
    </row>
    <row r="283" ht="12.75">
      <c r="B283" s="17"/>
    </row>
    <row r="284" ht="12.75">
      <c r="B284" s="17"/>
    </row>
    <row r="285" ht="12.75">
      <c r="B285" s="17"/>
    </row>
    <row r="286" ht="12.75">
      <c r="B286" s="17"/>
    </row>
    <row r="287" ht="12.75">
      <c r="B287" s="17"/>
    </row>
    <row r="288" ht="12.75">
      <c r="B288" s="17"/>
    </row>
    <row r="289" ht="12.75">
      <c r="B289" s="17"/>
    </row>
    <row r="290" ht="12.75">
      <c r="B290" s="17"/>
    </row>
    <row r="291" ht="12.75">
      <c r="B291" s="17"/>
    </row>
    <row r="292" ht="12.75">
      <c r="B292" s="17"/>
    </row>
    <row r="293" ht="12.75">
      <c r="B293" s="17"/>
    </row>
    <row r="294" ht="12.75">
      <c r="B294" s="17"/>
    </row>
    <row r="295" ht="12.75">
      <c r="B295" s="17"/>
    </row>
    <row r="296" ht="12.75">
      <c r="B296" s="17"/>
    </row>
    <row r="297" ht="12.75">
      <c r="B297" s="17"/>
    </row>
    <row r="298" ht="12.75">
      <c r="B298" s="17"/>
    </row>
    <row r="299" ht="12.75">
      <c r="B299" s="17"/>
    </row>
    <row r="300" ht="12.75">
      <c r="B300" s="17"/>
    </row>
    <row r="301" ht="12.75">
      <c r="B301" s="17"/>
    </row>
    <row r="302" ht="12.75">
      <c r="B302" s="17"/>
    </row>
    <row r="303" ht="12.75">
      <c r="B303" s="17"/>
    </row>
    <row r="304" ht="12.75">
      <c r="B304" s="17"/>
    </row>
    <row r="305" ht="12.75">
      <c r="B305" s="17"/>
    </row>
    <row r="306" ht="12.75">
      <c r="B306" s="17"/>
    </row>
    <row r="307" ht="12.75">
      <c r="B307" s="17"/>
    </row>
    <row r="308" ht="12.75">
      <c r="B308" s="17"/>
    </row>
    <row r="309" ht="12.75">
      <c r="B309" s="17"/>
    </row>
    <row r="310" ht="12.75">
      <c r="B310" s="17"/>
    </row>
    <row r="311" ht="12.75">
      <c r="B311" s="17"/>
    </row>
    <row r="312" ht="12.75">
      <c r="B312" s="17"/>
    </row>
    <row r="313" ht="12.75">
      <c r="B313" s="17"/>
    </row>
    <row r="314" ht="12.75">
      <c r="B314" s="17"/>
    </row>
    <row r="315" ht="12.75">
      <c r="B315" s="17"/>
    </row>
    <row r="316" ht="12.75">
      <c r="B316" s="17"/>
    </row>
    <row r="317" ht="12.75">
      <c r="B317" s="17"/>
    </row>
    <row r="318" ht="12.75">
      <c r="B318" s="17"/>
    </row>
    <row r="319" ht="12.75">
      <c r="B319" s="17"/>
    </row>
    <row r="320" ht="12.75">
      <c r="B320" s="17"/>
    </row>
    <row r="321" ht="12.75">
      <c r="B321" s="17"/>
    </row>
    <row r="322" ht="12.75">
      <c r="B322" s="17"/>
    </row>
    <row r="323" ht="12.75">
      <c r="B323" s="17"/>
    </row>
    <row r="324" ht="12.75">
      <c r="B324" s="17"/>
    </row>
    <row r="325" ht="12.75">
      <c r="B325" s="17"/>
    </row>
    <row r="326" ht="12.75">
      <c r="B326" s="17"/>
    </row>
    <row r="327" ht="12.75">
      <c r="B327" s="17"/>
    </row>
    <row r="328" ht="12.75">
      <c r="B328" s="17"/>
    </row>
    <row r="329" ht="12.75">
      <c r="B329" s="17"/>
    </row>
    <row r="330" ht="12.75">
      <c r="B330" s="17"/>
    </row>
    <row r="331" ht="12.75">
      <c r="B331" s="17"/>
    </row>
    <row r="332" ht="12.75">
      <c r="B332" s="17"/>
    </row>
    <row r="333" ht="12.75">
      <c r="B333" s="17"/>
    </row>
    <row r="334" ht="12.75">
      <c r="B334" s="17"/>
    </row>
    <row r="335" ht="12.75">
      <c r="B335" s="17"/>
    </row>
    <row r="336" ht="12.75">
      <c r="B336" s="17"/>
    </row>
    <row r="337" ht="12.75">
      <c r="B337" s="17"/>
    </row>
    <row r="338" ht="12.75">
      <c r="B338" s="17"/>
    </row>
    <row r="339" ht="12.75">
      <c r="B339" s="17"/>
    </row>
    <row r="340" ht="12.75">
      <c r="B340" s="17"/>
    </row>
    <row r="341" ht="12.75">
      <c r="B341" s="17"/>
    </row>
    <row r="342" ht="12.75">
      <c r="B342" s="17"/>
    </row>
    <row r="343" ht="12.75">
      <c r="B343" s="17"/>
    </row>
    <row r="344" ht="12.75">
      <c r="B344" s="17"/>
    </row>
    <row r="345" ht="12.75">
      <c r="B345" s="17"/>
    </row>
    <row r="346" ht="12.75">
      <c r="B346" s="17"/>
    </row>
    <row r="347" ht="12.75">
      <c r="B347" s="17"/>
    </row>
    <row r="348" ht="12.75">
      <c r="B348" s="17"/>
    </row>
    <row r="349" ht="12.75">
      <c r="B349" s="17"/>
    </row>
    <row r="350" ht="12.75">
      <c r="B350" s="17"/>
    </row>
    <row r="351" ht="12.75">
      <c r="B351" s="17"/>
    </row>
    <row r="352" ht="12.75">
      <c r="B352" s="17"/>
    </row>
    <row r="353" ht="12.75">
      <c r="B353" s="17"/>
    </row>
    <row r="354" ht="12.75">
      <c r="B354" s="17"/>
    </row>
    <row r="355" ht="12.75">
      <c r="B355" s="17"/>
    </row>
    <row r="356" ht="12.75">
      <c r="B356" s="17"/>
    </row>
    <row r="357" ht="12.75">
      <c r="B357" s="17"/>
    </row>
    <row r="358" ht="12.75">
      <c r="B358" s="17"/>
    </row>
    <row r="359" ht="12.75">
      <c r="B359" s="17"/>
    </row>
    <row r="360" ht="12.75">
      <c r="B360" s="17"/>
    </row>
    <row r="361" ht="12.75">
      <c r="B361" s="17"/>
    </row>
    <row r="362" ht="12.75">
      <c r="B362" s="17"/>
    </row>
    <row r="363" ht="12.75">
      <c r="B363" s="17"/>
    </row>
    <row r="364" ht="12.75">
      <c r="B364" s="17"/>
    </row>
    <row r="365" ht="12.75">
      <c r="B365" s="17"/>
    </row>
    <row r="366" ht="12.75">
      <c r="B366" s="17"/>
    </row>
    <row r="367" ht="12.75">
      <c r="B367" s="17"/>
    </row>
    <row r="368" ht="12.75">
      <c r="B368" s="17"/>
    </row>
    <row r="369" ht="12.75">
      <c r="B369" s="17"/>
    </row>
    <row r="370" ht="12.75">
      <c r="B370" s="17"/>
    </row>
    <row r="371" ht="12.75">
      <c r="B371" s="17"/>
    </row>
    <row r="372" ht="12.75">
      <c r="B372" s="17"/>
    </row>
    <row r="373" ht="12.75">
      <c r="B373" s="17"/>
    </row>
    <row r="374" ht="12.75">
      <c r="B374" s="17"/>
    </row>
    <row r="375" ht="12.75">
      <c r="B375" s="17"/>
    </row>
    <row r="376" ht="12.75">
      <c r="B376" s="17"/>
    </row>
    <row r="377" ht="12.75">
      <c r="B377" s="17"/>
    </row>
    <row r="378" ht="12.75">
      <c r="B378" s="17"/>
    </row>
    <row r="379" ht="12.75">
      <c r="B379" s="17"/>
    </row>
    <row r="380" ht="12.75">
      <c r="B380" s="17"/>
    </row>
    <row r="381" ht="12.75">
      <c r="B381" s="17"/>
    </row>
    <row r="382" ht="12.75">
      <c r="B382" s="17"/>
    </row>
    <row r="383" ht="12.75">
      <c r="B383" s="17"/>
    </row>
    <row r="384" ht="12.75">
      <c r="B384" s="17"/>
    </row>
    <row r="385" ht="12.75">
      <c r="B385" s="17"/>
    </row>
    <row r="386" ht="12.75">
      <c r="B386" s="17"/>
    </row>
    <row r="387" ht="12.75">
      <c r="B387" s="17"/>
    </row>
    <row r="388" ht="12.75">
      <c r="B388" s="17"/>
    </row>
    <row r="389" ht="12.75">
      <c r="B389" s="17"/>
    </row>
    <row r="390" ht="12.75">
      <c r="B390" s="17"/>
    </row>
    <row r="391" ht="12.75">
      <c r="B391" s="17"/>
    </row>
    <row r="392" ht="12.75">
      <c r="B392" s="17"/>
    </row>
    <row r="393" ht="12.75">
      <c r="B393" s="17"/>
    </row>
    <row r="394" ht="12.75">
      <c r="B394" s="17"/>
    </row>
    <row r="395" ht="12.75">
      <c r="B395" s="17"/>
    </row>
    <row r="396" ht="12.75">
      <c r="B396" s="17"/>
    </row>
    <row r="397" ht="12.75">
      <c r="B397" s="17"/>
    </row>
    <row r="398" ht="12.75">
      <c r="B398" s="17"/>
    </row>
    <row r="399" ht="12.75">
      <c r="B399" s="17"/>
    </row>
    <row r="400" ht="12.75">
      <c r="B400" s="17"/>
    </row>
    <row r="401" ht="12.75">
      <c r="B401" s="17"/>
    </row>
    <row r="402" ht="12.75">
      <c r="B402" s="17"/>
    </row>
    <row r="403" ht="12.75">
      <c r="B403" s="17"/>
    </row>
    <row r="404" ht="12.75">
      <c r="B404" s="17"/>
    </row>
    <row r="405" ht="12.75">
      <c r="B405" s="17"/>
    </row>
    <row r="406" ht="12.75">
      <c r="B406" s="17"/>
    </row>
    <row r="407" ht="12.75">
      <c r="B407" s="17"/>
    </row>
    <row r="408" ht="12.75">
      <c r="B408" s="17"/>
    </row>
    <row r="409" ht="12.75">
      <c r="B409" s="17"/>
    </row>
    <row r="410" ht="12.75">
      <c r="B410" s="17"/>
    </row>
    <row r="411" ht="12.75">
      <c r="B411" s="17"/>
    </row>
    <row r="412" ht="12.75">
      <c r="B412" s="17"/>
    </row>
    <row r="413" ht="12.75">
      <c r="B413" s="17"/>
    </row>
    <row r="414" ht="12.75">
      <c r="B414" s="17"/>
    </row>
    <row r="415" ht="12.75">
      <c r="B415" s="17"/>
    </row>
    <row r="416" ht="12.75">
      <c r="B416" s="17"/>
    </row>
    <row r="417" ht="12.75">
      <c r="B417" s="17"/>
    </row>
    <row r="418" ht="12.75">
      <c r="B418" s="17"/>
    </row>
    <row r="419" ht="12.75">
      <c r="B419" s="17"/>
    </row>
    <row r="420" ht="12.75">
      <c r="B420" s="17"/>
    </row>
    <row r="421" ht="12.75">
      <c r="B421" s="17"/>
    </row>
    <row r="422" ht="12.75">
      <c r="B422" s="17"/>
    </row>
    <row r="423" ht="12.75">
      <c r="B423" s="17"/>
    </row>
    <row r="424" ht="12.75">
      <c r="B424" s="17"/>
    </row>
    <row r="425" ht="12.75">
      <c r="B425" s="17"/>
    </row>
    <row r="426" ht="12.75">
      <c r="B426" s="17"/>
    </row>
    <row r="427" ht="12.75">
      <c r="B427" s="17"/>
    </row>
    <row r="428" ht="12.75">
      <c r="B428" s="17"/>
    </row>
    <row r="429" ht="12.75">
      <c r="B429" s="17"/>
    </row>
    <row r="430" ht="12.75">
      <c r="B430" s="17"/>
    </row>
    <row r="431" ht="12.75">
      <c r="B431" s="17"/>
    </row>
    <row r="432" ht="12.75">
      <c r="B432" s="17"/>
    </row>
    <row r="433" ht="12.75">
      <c r="B433" s="17"/>
    </row>
    <row r="434" ht="12.75">
      <c r="B434" s="17"/>
    </row>
    <row r="435" ht="12.75">
      <c r="B435" s="17"/>
    </row>
    <row r="436" ht="12.75">
      <c r="B436" s="17"/>
    </row>
    <row r="437" ht="12.75">
      <c r="B437" s="17"/>
    </row>
    <row r="438" ht="12.75">
      <c r="B438" s="17"/>
    </row>
    <row r="439" ht="12.75">
      <c r="B439" s="17"/>
    </row>
    <row r="440" ht="12.75">
      <c r="B440" s="17"/>
    </row>
    <row r="441" ht="12.75">
      <c r="B441" s="17"/>
    </row>
    <row r="442" ht="12.75">
      <c r="B442" s="17"/>
    </row>
    <row r="443" ht="12.75">
      <c r="B443" s="17"/>
    </row>
    <row r="444" ht="12.75">
      <c r="B444" s="17"/>
    </row>
    <row r="445" ht="12.75">
      <c r="B445" s="17"/>
    </row>
    <row r="446" ht="12.75">
      <c r="B446" s="17"/>
    </row>
    <row r="447" ht="12.75">
      <c r="B447" s="17"/>
    </row>
    <row r="448" ht="12.75">
      <c r="B448" s="17"/>
    </row>
    <row r="449" ht="12.75">
      <c r="B449" s="17"/>
    </row>
    <row r="450" ht="12.75">
      <c r="B450" s="17"/>
    </row>
    <row r="451" ht="12.75">
      <c r="B451" s="17"/>
    </row>
    <row r="452" ht="12.75">
      <c r="B452" s="17"/>
    </row>
    <row r="453" ht="12.75">
      <c r="B453" s="17"/>
    </row>
    <row r="454" ht="12.75">
      <c r="B454" s="17"/>
    </row>
    <row r="455" ht="12.75">
      <c r="B455" s="17"/>
    </row>
    <row r="456" ht="12.75">
      <c r="B456" s="17"/>
    </row>
    <row r="457" ht="12.75">
      <c r="B457" s="17"/>
    </row>
    <row r="458" ht="12.75">
      <c r="B458" s="17"/>
    </row>
    <row r="459" ht="12.75">
      <c r="B459" s="17"/>
    </row>
    <row r="460" ht="12.75">
      <c r="B460" s="17"/>
    </row>
    <row r="461" ht="12.75">
      <c r="B461" s="17"/>
    </row>
    <row r="462" ht="12.75">
      <c r="B462" s="17"/>
    </row>
    <row r="463" ht="12.75">
      <c r="B463" s="17"/>
    </row>
    <row r="464" ht="12.75">
      <c r="B464" s="17"/>
    </row>
    <row r="465" ht="12.75">
      <c r="B465" s="17"/>
    </row>
    <row r="466" ht="12.75">
      <c r="B466" s="17"/>
    </row>
    <row r="467" ht="12.75">
      <c r="B467" s="17"/>
    </row>
    <row r="468" ht="12.75">
      <c r="B468" s="17"/>
    </row>
    <row r="469" ht="12.75">
      <c r="B469" s="17"/>
    </row>
    <row r="470" ht="12.75">
      <c r="B470" s="17"/>
    </row>
    <row r="471" ht="12.75">
      <c r="B471" s="17"/>
    </row>
    <row r="472" ht="12.75">
      <c r="B472" s="17"/>
    </row>
    <row r="473" ht="12.75">
      <c r="B473" s="17"/>
    </row>
    <row r="474" ht="12.75">
      <c r="B474" s="17"/>
    </row>
    <row r="475" ht="12.75">
      <c r="B475" s="17"/>
    </row>
    <row r="476" ht="12.75">
      <c r="B476" s="17"/>
    </row>
    <row r="477" ht="12.75">
      <c r="B477" s="17"/>
    </row>
    <row r="478" ht="12.75">
      <c r="B478" s="17"/>
    </row>
    <row r="479" ht="12.75">
      <c r="B479" s="17"/>
    </row>
    <row r="480" ht="12.75">
      <c r="B480" s="17"/>
    </row>
    <row r="481" ht="12.75">
      <c r="B481" s="17"/>
    </row>
    <row r="482" ht="12.75">
      <c r="B482" s="17"/>
    </row>
    <row r="483" ht="12.75">
      <c r="B483" s="17"/>
    </row>
    <row r="484" ht="12.75">
      <c r="B484" s="17"/>
    </row>
    <row r="485" ht="12.75">
      <c r="B485" s="17"/>
    </row>
    <row r="486" ht="12.75">
      <c r="B486" s="17"/>
    </row>
    <row r="487" ht="12.75">
      <c r="B487" s="17"/>
    </row>
    <row r="488" ht="12.75">
      <c r="B488" s="17"/>
    </row>
    <row r="489" ht="12.75">
      <c r="B489" s="17"/>
    </row>
    <row r="490" ht="12.75">
      <c r="B490" s="17"/>
    </row>
    <row r="491" ht="12.75">
      <c r="B491" s="17"/>
    </row>
    <row r="492" ht="12.75">
      <c r="B492" s="17"/>
    </row>
    <row r="493" ht="12.75">
      <c r="B493" s="17"/>
    </row>
    <row r="494" ht="12.75">
      <c r="B494" s="17"/>
    </row>
    <row r="495" ht="12.75">
      <c r="B495" s="17"/>
    </row>
    <row r="496" ht="12.75">
      <c r="B496" s="17"/>
    </row>
    <row r="497" ht="12.75">
      <c r="B497" s="17"/>
    </row>
    <row r="498" ht="12.75">
      <c r="B498" s="17"/>
    </row>
    <row r="499" ht="12.75">
      <c r="B499" s="17"/>
    </row>
    <row r="500" ht="12.75">
      <c r="B500" s="17"/>
    </row>
    <row r="501" ht="12.75">
      <c r="B501" s="17"/>
    </row>
    <row r="502" ht="12.75">
      <c r="B502" s="17"/>
    </row>
    <row r="503" ht="12.75">
      <c r="B503" s="17"/>
    </row>
    <row r="504" ht="12.75">
      <c r="B504" s="17"/>
    </row>
    <row r="505" ht="12.75">
      <c r="B505" s="17"/>
    </row>
    <row r="506" ht="12.75">
      <c r="B506" s="17"/>
    </row>
    <row r="507" ht="12.75">
      <c r="B507" s="17"/>
    </row>
    <row r="508" ht="12.75">
      <c r="B508" s="17"/>
    </row>
    <row r="509" ht="12.75">
      <c r="B509" s="17"/>
    </row>
    <row r="510" ht="12.75">
      <c r="B510" s="17"/>
    </row>
    <row r="511" ht="12.75">
      <c r="B511" s="17"/>
    </row>
    <row r="512" ht="12.75">
      <c r="B512" s="17"/>
    </row>
    <row r="513" ht="12.75">
      <c r="B513" s="17"/>
    </row>
    <row r="514" ht="12.75">
      <c r="B514" s="17"/>
    </row>
    <row r="515" ht="12.75">
      <c r="B515" s="17"/>
    </row>
    <row r="516" ht="12.75">
      <c r="B516" s="17"/>
    </row>
    <row r="517" ht="12.75">
      <c r="B517" s="17"/>
    </row>
    <row r="518" ht="12.75">
      <c r="B518" s="17"/>
    </row>
    <row r="519" ht="12.75">
      <c r="B519" s="17"/>
    </row>
    <row r="520" ht="12.75">
      <c r="B520" s="17"/>
    </row>
    <row r="521" ht="12.75">
      <c r="B521" s="17"/>
    </row>
    <row r="522" ht="12.75">
      <c r="B522" s="17"/>
    </row>
    <row r="523" ht="12.75">
      <c r="B523" s="17"/>
    </row>
    <row r="524" ht="12.75">
      <c r="B524" s="17"/>
    </row>
    <row r="525" ht="12.75">
      <c r="B525" s="17"/>
    </row>
    <row r="526" ht="12.75">
      <c r="B526" s="17"/>
    </row>
    <row r="527" ht="12.75">
      <c r="B527" s="17"/>
    </row>
    <row r="528" ht="12.75">
      <c r="B528" s="17"/>
    </row>
    <row r="529" ht="12.75">
      <c r="B529" s="17"/>
    </row>
    <row r="530" ht="12.75">
      <c r="B530" s="17"/>
    </row>
    <row r="531" ht="12.75">
      <c r="B531" s="17"/>
    </row>
    <row r="532" ht="12.75">
      <c r="B532" s="17"/>
    </row>
    <row r="533" ht="12.75">
      <c r="B533" s="17"/>
    </row>
    <row r="534" ht="12.75">
      <c r="B534" s="17"/>
    </row>
    <row r="535" ht="12.75">
      <c r="B535" s="17"/>
    </row>
    <row r="536" ht="12.75">
      <c r="B536" s="17"/>
    </row>
    <row r="537" ht="12.75">
      <c r="B537" s="17"/>
    </row>
    <row r="538" ht="12.75">
      <c r="B538" s="17"/>
    </row>
    <row r="539" ht="12.75">
      <c r="B539" s="17"/>
    </row>
    <row r="540" ht="12.75">
      <c r="B540" s="17"/>
    </row>
    <row r="541" ht="12.75">
      <c r="B541" s="17"/>
    </row>
    <row r="542" ht="12.75">
      <c r="B542" s="17"/>
    </row>
    <row r="543" ht="12.75">
      <c r="B543" s="17"/>
    </row>
    <row r="544" ht="12.75">
      <c r="B544" s="17"/>
    </row>
  </sheetData>
  <sheetProtection/>
  <mergeCells count="4">
    <mergeCell ref="A2:B2"/>
    <mergeCell ref="A3:B3"/>
    <mergeCell ref="A1:B1"/>
    <mergeCell ref="A5:B5"/>
  </mergeCells>
  <printOptions horizontalCentered="1"/>
  <pageMargins left="0.31" right="0.3"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B544"/>
  <sheetViews>
    <sheetView view="pageBreakPreview" zoomScale="110" zoomScaleSheetLayoutView="110" zoomScalePageLayoutView="0" workbookViewId="0" topLeftCell="A1">
      <selection activeCell="A4" sqref="A4"/>
    </sheetView>
  </sheetViews>
  <sheetFormatPr defaultColWidth="9.140625" defaultRowHeight="15"/>
  <cols>
    <col min="1" max="1" width="85.28125" style="17" customWidth="1"/>
    <col min="2" max="2" width="37.28125" style="18" customWidth="1"/>
    <col min="3" max="16384" width="9.140625" style="17" customWidth="1"/>
  </cols>
  <sheetData>
    <row r="1" spans="1:2" ht="35.25" customHeight="1">
      <c r="A1" s="102" t="s">
        <v>79</v>
      </c>
      <c r="B1" s="102"/>
    </row>
    <row r="2" spans="1:2" s="10" customFormat="1" ht="78.75" customHeight="1">
      <c r="A2" s="135" t="s">
        <v>134</v>
      </c>
      <c r="B2" s="135"/>
    </row>
    <row r="3" spans="1:2" ht="24.75" customHeight="1">
      <c r="A3" s="136" t="s">
        <v>13</v>
      </c>
      <c r="B3" s="136"/>
    </row>
    <row r="4" spans="1:2" s="20" customFormat="1" ht="66.75" customHeight="1">
      <c r="A4" s="152" t="s">
        <v>112</v>
      </c>
      <c r="B4" s="153">
        <v>25587.38</v>
      </c>
    </row>
    <row r="5" spans="1:2" ht="54.75" customHeight="1">
      <c r="A5" s="138" t="s">
        <v>82</v>
      </c>
      <c r="B5" s="138"/>
    </row>
    <row r="6" ht="26.25" customHeight="1">
      <c r="B6" s="17"/>
    </row>
    <row r="7" ht="12.75">
      <c r="B7" s="17"/>
    </row>
    <row r="8" ht="12.75">
      <c r="B8" s="17"/>
    </row>
    <row r="9" ht="12.75">
      <c r="B9" s="17"/>
    </row>
    <row r="10" ht="12.75">
      <c r="B10" s="17"/>
    </row>
    <row r="11" ht="12.75">
      <c r="B11" s="17"/>
    </row>
    <row r="12" ht="12.75">
      <c r="B12" s="17"/>
    </row>
    <row r="13" ht="12.75">
      <c r="B13" s="17"/>
    </row>
    <row r="14" ht="12.75">
      <c r="B14" s="17"/>
    </row>
    <row r="15" ht="12.75">
      <c r="B15" s="17"/>
    </row>
    <row r="16" ht="12.75">
      <c r="B16" s="17"/>
    </row>
    <row r="17" ht="12.75">
      <c r="B17" s="17"/>
    </row>
    <row r="18" ht="12.75">
      <c r="B18" s="17"/>
    </row>
    <row r="19" ht="12.75">
      <c r="B19" s="17"/>
    </row>
    <row r="20" ht="12.75">
      <c r="B20" s="17"/>
    </row>
    <row r="21" ht="12.75">
      <c r="B21" s="17"/>
    </row>
    <row r="22" ht="12.75">
      <c r="B22" s="17"/>
    </row>
    <row r="23" ht="12.75">
      <c r="B23" s="17"/>
    </row>
    <row r="24" ht="12.75">
      <c r="B24" s="17"/>
    </row>
    <row r="25" ht="12.75">
      <c r="B25" s="17"/>
    </row>
    <row r="26" ht="12.75">
      <c r="B26" s="17"/>
    </row>
    <row r="27" ht="12.75">
      <c r="B27" s="17"/>
    </row>
    <row r="28" ht="12.75">
      <c r="B28" s="17"/>
    </row>
    <row r="29" ht="12.75">
      <c r="B29" s="17"/>
    </row>
    <row r="30" ht="12.75">
      <c r="B30" s="17"/>
    </row>
    <row r="31" ht="12.75">
      <c r="B31" s="17"/>
    </row>
    <row r="32" ht="12.75">
      <c r="B32" s="17"/>
    </row>
    <row r="33" ht="12.75">
      <c r="B33" s="17"/>
    </row>
    <row r="34" ht="12.75">
      <c r="B34" s="17"/>
    </row>
    <row r="35" ht="12.75">
      <c r="B35" s="17"/>
    </row>
    <row r="36" ht="12.75">
      <c r="B36" s="17"/>
    </row>
    <row r="37" ht="12.75">
      <c r="B37" s="17"/>
    </row>
    <row r="38" ht="12.75">
      <c r="B38" s="17"/>
    </row>
    <row r="39" ht="12.75">
      <c r="B39" s="17"/>
    </row>
    <row r="40" ht="12.75">
      <c r="B40" s="17"/>
    </row>
    <row r="41" ht="12.75">
      <c r="B41" s="17"/>
    </row>
    <row r="42" ht="12.75">
      <c r="B42" s="17"/>
    </row>
    <row r="43" ht="12.75">
      <c r="B43" s="17"/>
    </row>
    <row r="44" ht="12.75">
      <c r="B44" s="17"/>
    </row>
    <row r="45" ht="12.75">
      <c r="B45" s="17"/>
    </row>
    <row r="46" ht="12.75">
      <c r="B46" s="17"/>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row r="243" ht="12.75">
      <c r="B243" s="17"/>
    </row>
    <row r="244" ht="12.75">
      <c r="B244" s="17"/>
    </row>
    <row r="245" ht="12.75">
      <c r="B245" s="17"/>
    </row>
    <row r="246" ht="12.75">
      <c r="B246" s="17"/>
    </row>
    <row r="247" ht="12.75">
      <c r="B247" s="17"/>
    </row>
    <row r="248" ht="12.75">
      <c r="B248" s="17"/>
    </row>
    <row r="249" ht="12.75">
      <c r="B249" s="17"/>
    </row>
    <row r="250" ht="12.75">
      <c r="B250" s="17"/>
    </row>
    <row r="251" ht="12.75">
      <c r="B251" s="17"/>
    </row>
    <row r="252" ht="12.75">
      <c r="B252" s="17"/>
    </row>
    <row r="253" ht="12.75">
      <c r="B253" s="17"/>
    </row>
    <row r="254" ht="12.75">
      <c r="B254" s="17"/>
    </row>
    <row r="255" ht="12.75">
      <c r="B255" s="17"/>
    </row>
    <row r="256" ht="12.75">
      <c r="B256" s="17"/>
    </row>
    <row r="257" ht="12.75">
      <c r="B257" s="17"/>
    </row>
    <row r="258" ht="12.75">
      <c r="B258" s="17"/>
    </row>
    <row r="259" ht="12.75">
      <c r="B259" s="17"/>
    </row>
    <row r="260" ht="12.75">
      <c r="B260" s="17"/>
    </row>
    <row r="261" ht="12.75">
      <c r="B261" s="17"/>
    </row>
    <row r="262" ht="12.75">
      <c r="B262" s="17"/>
    </row>
    <row r="263" ht="12.75">
      <c r="B263" s="17"/>
    </row>
    <row r="264" ht="12.75">
      <c r="B264" s="17"/>
    </row>
    <row r="265" ht="12.75">
      <c r="B265" s="17"/>
    </row>
    <row r="266" ht="12.75">
      <c r="B266" s="17"/>
    </row>
    <row r="267" ht="12.75">
      <c r="B267" s="17"/>
    </row>
    <row r="268" ht="12.75">
      <c r="B268" s="17"/>
    </row>
    <row r="269" ht="12.75">
      <c r="B269" s="17"/>
    </row>
    <row r="270" ht="12.75">
      <c r="B270" s="17"/>
    </row>
    <row r="271" ht="12.75">
      <c r="B271" s="17"/>
    </row>
    <row r="272" ht="12.75">
      <c r="B272" s="17"/>
    </row>
    <row r="273" ht="12.75">
      <c r="B273" s="17"/>
    </row>
    <row r="274" ht="12.75">
      <c r="B274" s="17"/>
    </row>
    <row r="275" ht="12.75">
      <c r="B275" s="17"/>
    </row>
    <row r="276" ht="12.75">
      <c r="B276" s="17"/>
    </row>
    <row r="277" ht="12.75">
      <c r="B277" s="17"/>
    </row>
    <row r="278" ht="12.75">
      <c r="B278" s="17"/>
    </row>
    <row r="279" ht="12.75">
      <c r="B279" s="17"/>
    </row>
    <row r="280" ht="12.75">
      <c r="B280" s="17"/>
    </row>
    <row r="281" ht="12.75">
      <c r="B281" s="17"/>
    </row>
    <row r="282" ht="12.75">
      <c r="B282" s="17"/>
    </row>
    <row r="283" ht="12.75">
      <c r="B283" s="17"/>
    </row>
    <row r="284" ht="12.75">
      <c r="B284" s="17"/>
    </row>
    <row r="285" ht="12.75">
      <c r="B285" s="17"/>
    </row>
    <row r="286" ht="12.75">
      <c r="B286" s="17"/>
    </row>
    <row r="287" ht="12.75">
      <c r="B287" s="17"/>
    </row>
    <row r="288" ht="12.75">
      <c r="B288" s="17"/>
    </row>
    <row r="289" ht="12.75">
      <c r="B289" s="17"/>
    </row>
    <row r="290" ht="12.75">
      <c r="B290" s="17"/>
    </row>
    <row r="291" ht="12.75">
      <c r="B291" s="17"/>
    </row>
    <row r="292" ht="12.75">
      <c r="B292" s="17"/>
    </row>
    <row r="293" ht="12.75">
      <c r="B293" s="17"/>
    </row>
    <row r="294" ht="12.75">
      <c r="B294" s="17"/>
    </row>
    <row r="295" ht="12.75">
      <c r="B295" s="17"/>
    </row>
    <row r="296" ht="12.75">
      <c r="B296" s="17"/>
    </row>
    <row r="297" ht="12.75">
      <c r="B297" s="17"/>
    </row>
    <row r="298" ht="12.75">
      <c r="B298" s="17"/>
    </row>
    <row r="299" ht="12.75">
      <c r="B299" s="17"/>
    </row>
    <row r="300" ht="12.75">
      <c r="B300" s="17"/>
    </row>
    <row r="301" ht="12.75">
      <c r="B301" s="17"/>
    </row>
    <row r="302" ht="12.75">
      <c r="B302" s="17"/>
    </row>
    <row r="303" ht="12.75">
      <c r="B303" s="17"/>
    </row>
    <row r="304" ht="12.75">
      <c r="B304" s="17"/>
    </row>
    <row r="305" ht="12.75">
      <c r="B305" s="17"/>
    </row>
    <row r="306" ht="12.75">
      <c r="B306" s="17"/>
    </row>
    <row r="307" ht="12.75">
      <c r="B307" s="17"/>
    </row>
    <row r="308" ht="12.75">
      <c r="B308" s="17"/>
    </row>
    <row r="309" ht="12.75">
      <c r="B309" s="17"/>
    </row>
    <row r="310" ht="12.75">
      <c r="B310" s="17"/>
    </row>
    <row r="311" ht="12.75">
      <c r="B311" s="17"/>
    </row>
    <row r="312" ht="12.75">
      <c r="B312" s="17"/>
    </row>
    <row r="313" ht="12.75">
      <c r="B313" s="17"/>
    </row>
    <row r="314" ht="12.75">
      <c r="B314" s="17"/>
    </row>
    <row r="315" ht="12.75">
      <c r="B315" s="17"/>
    </row>
    <row r="316" ht="12.75">
      <c r="B316" s="17"/>
    </row>
    <row r="317" ht="12.75">
      <c r="B317" s="17"/>
    </row>
    <row r="318" ht="12.75">
      <c r="B318" s="17"/>
    </row>
    <row r="319" ht="12.75">
      <c r="B319" s="17"/>
    </row>
    <row r="320" ht="12.75">
      <c r="B320" s="17"/>
    </row>
    <row r="321" ht="12.75">
      <c r="B321" s="17"/>
    </row>
    <row r="322" ht="12.75">
      <c r="B322" s="17"/>
    </row>
    <row r="323" ht="12.75">
      <c r="B323" s="17"/>
    </row>
    <row r="324" ht="12.75">
      <c r="B324" s="17"/>
    </row>
    <row r="325" ht="12.75">
      <c r="B325" s="17"/>
    </row>
    <row r="326" ht="12.75">
      <c r="B326" s="17"/>
    </row>
    <row r="327" ht="12.75">
      <c r="B327" s="17"/>
    </row>
    <row r="328" ht="12.75">
      <c r="B328" s="17"/>
    </row>
    <row r="329" ht="12.75">
      <c r="B329" s="17"/>
    </row>
    <row r="330" ht="12.75">
      <c r="B330" s="17"/>
    </row>
    <row r="331" ht="12.75">
      <c r="B331" s="17"/>
    </row>
    <row r="332" ht="12.75">
      <c r="B332" s="17"/>
    </row>
    <row r="333" ht="12.75">
      <c r="B333" s="17"/>
    </row>
    <row r="334" ht="12.75">
      <c r="B334" s="17"/>
    </row>
    <row r="335" ht="12.75">
      <c r="B335" s="17"/>
    </row>
    <row r="336" ht="12.75">
      <c r="B336" s="17"/>
    </row>
    <row r="337" ht="12.75">
      <c r="B337" s="17"/>
    </row>
    <row r="338" ht="12.75">
      <c r="B338" s="17"/>
    </row>
    <row r="339" ht="12.75">
      <c r="B339" s="17"/>
    </row>
    <row r="340" ht="12.75">
      <c r="B340" s="17"/>
    </row>
    <row r="341" ht="12.75">
      <c r="B341" s="17"/>
    </row>
    <row r="342" ht="12.75">
      <c r="B342" s="17"/>
    </row>
    <row r="343" ht="12.75">
      <c r="B343" s="17"/>
    </row>
    <row r="344" ht="12.75">
      <c r="B344" s="17"/>
    </row>
    <row r="345" ht="12.75">
      <c r="B345" s="17"/>
    </row>
    <row r="346" ht="12.75">
      <c r="B346" s="17"/>
    </row>
    <row r="347" ht="12.75">
      <c r="B347" s="17"/>
    </row>
    <row r="348" ht="12.75">
      <c r="B348" s="17"/>
    </row>
    <row r="349" ht="12.75">
      <c r="B349" s="17"/>
    </row>
    <row r="350" ht="12.75">
      <c r="B350" s="17"/>
    </row>
    <row r="351" ht="12.75">
      <c r="B351" s="17"/>
    </row>
    <row r="352" ht="12.75">
      <c r="B352" s="17"/>
    </row>
    <row r="353" ht="12.75">
      <c r="B353" s="17"/>
    </row>
    <row r="354" ht="12.75">
      <c r="B354" s="17"/>
    </row>
    <row r="355" ht="12.75">
      <c r="B355" s="17"/>
    </row>
    <row r="356" ht="12.75">
      <c r="B356" s="17"/>
    </row>
    <row r="357" ht="12.75">
      <c r="B357" s="17"/>
    </row>
    <row r="358" ht="12.75">
      <c r="B358" s="17"/>
    </row>
    <row r="359" ht="12.75">
      <c r="B359" s="17"/>
    </row>
    <row r="360" ht="12.75">
      <c r="B360" s="17"/>
    </row>
    <row r="361" ht="12.75">
      <c r="B361" s="17"/>
    </row>
    <row r="362" ht="12.75">
      <c r="B362" s="17"/>
    </row>
    <row r="363" ht="12.75">
      <c r="B363" s="17"/>
    </row>
    <row r="364" ht="12.75">
      <c r="B364" s="17"/>
    </row>
    <row r="365" ht="12.75">
      <c r="B365" s="17"/>
    </row>
    <row r="366" ht="12.75">
      <c r="B366" s="17"/>
    </row>
    <row r="367" ht="12.75">
      <c r="B367" s="17"/>
    </row>
    <row r="368" ht="12.75">
      <c r="B368" s="17"/>
    </row>
    <row r="369" ht="12.75">
      <c r="B369" s="17"/>
    </row>
    <row r="370" ht="12.75">
      <c r="B370" s="17"/>
    </row>
    <row r="371" ht="12.75">
      <c r="B371" s="17"/>
    </row>
    <row r="372" ht="12.75">
      <c r="B372" s="17"/>
    </row>
    <row r="373" ht="12.75">
      <c r="B373" s="17"/>
    </row>
    <row r="374" ht="12.75">
      <c r="B374" s="17"/>
    </row>
    <row r="375" ht="12.75">
      <c r="B375" s="17"/>
    </row>
    <row r="376" ht="12.75">
      <c r="B376" s="17"/>
    </row>
    <row r="377" ht="12.75">
      <c r="B377" s="17"/>
    </row>
    <row r="378" ht="12.75">
      <c r="B378" s="17"/>
    </row>
    <row r="379" ht="12.75">
      <c r="B379" s="17"/>
    </row>
    <row r="380" ht="12.75">
      <c r="B380" s="17"/>
    </row>
    <row r="381" ht="12.75">
      <c r="B381" s="17"/>
    </row>
    <row r="382" ht="12.75">
      <c r="B382" s="17"/>
    </row>
    <row r="383" ht="12.75">
      <c r="B383" s="17"/>
    </row>
    <row r="384" ht="12.75">
      <c r="B384" s="17"/>
    </row>
    <row r="385" ht="12.75">
      <c r="B385" s="17"/>
    </row>
    <row r="386" ht="12.75">
      <c r="B386" s="17"/>
    </row>
    <row r="387" ht="12.75">
      <c r="B387" s="17"/>
    </row>
    <row r="388" ht="12.75">
      <c r="B388" s="17"/>
    </row>
    <row r="389" ht="12.75">
      <c r="B389" s="17"/>
    </row>
    <row r="390" ht="12.75">
      <c r="B390" s="17"/>
    </row>
    <row r="391" ht="12.75">
      <c r="B391" s="17"/>
    </row>
    <row r="392" ht="12.75">
      <c r="B392" s="17"/>
    </row>
    <row r="393" ht="12.75">
      <c r="B393" s="17"/>
    </row>
    <row r="394" ht="12.75">
      <c r="B394" s="17"/>
    </row>
    <row r="395" ht="12.75">
      <c r="B395" s="17"/>
    </row>
    <row r="396" ht="12.75">
      <c r="B396" s="17"/>
    </row>
    <row r="397" ht="12.75">
      <c r="B397" s="17"/>
    </row>
    <row r="398" ht="12.75">
      <c r="B398" s="17"/>
    </row>
    <row r="399" ht="12.75">
      <c r="B399" s="17"/>
    </row>
    <row r="400" ht="12.75">
      <c r="B400" s="17"/>
    </row>
    <row r="401" ht="12.75">
      <c r="B401" s="17"/>
    </row>
    <row r="402" ht="12.75">
      <c r="B402" s="17"/>
    </row>
    <row r="403" ht="12.75">
      <c r="B403" s="17"/>
    </row>
    <row r="404" ht="12.75">
      <c r="B404" s="17"/>
    </row>
    <row r="405" ht="12.75">
      <c r="B405" s="17"/>
    </row>
    <row r="406" ht="12.75">
      <c r="B406" s="17"/>
    </row>
    <row r="407" ht="12.75">
      <c r="B407" s="17"/>
    </row>
    <row r="408" ht="12.75">
      <c r="B408" s="17"/>
    </row>
    <row r="409" ht="12.75">
      <c r="B409" s="17"/>
    </row>
    <row r="410" ht="12.75">
      <c r="B410" s="17"/>
    </row>
    <row r="411" ht="12.75">
      <c r="B411" s="17"/>
    </row>
    <row r="412" ht="12.75">
      <c r="B412" s="17"/>
    </row>
    <row r="413" ht="12.75">
      <c r="B413" s="17"/>
    </row>
    <row r="414" ht="12.75">
      <c r="B414" s="17"/>
    </row>
    <row r="415" ht="12.75">
      <c r="B415" s="17"/>
    </row>
    <row r="416" ht="12.75">
      <c r="B416" s="17"/>
    </row>
    <row r="417" ht="12.75">
      <c r="B417" s="17"/>
    </row>
    <row r="418" ht="12.75">
      <c r="B418" s="17"/>
    </row>
    <row r="419" ht="12.75">
      <c r="B419" s="17"/>
    </row>
    <row r="420" ht="12.75">
      <c r="B420" s="17"/>
    </row>
    <row r="421" ht="12.75">
      <c r="B421" s="17"/>
    </row>
    <row r="422" ht="12.75">
      <c r="B422" s="17"/>
    </row>
    <row r="423" ht="12.75">
      <c r="B423" s="17"/>
    </row>
    <row r="424" ht="12.75">
      <c r="B424" s="17"/>
    </row>
    <row r="425" ht="12.75">
      <c r="B425" s="17"/>
    </row>
    <row r="426" ht="12.75">
      <c r="B426" s="17"/>
    </row>
    <row r="427" ht="12.75">
      <c r="B427" s="17"/>
    </row>
    <row r="428" ht="12.75">
      <c r="B428" s="17"/>
    </row>
    <row r="429" ht="12.75">
      <c r="B429" s="17"/>
    </row>
    <row r="430" ht="12.75">
      <c r="B430" s="17"/>
    </row>
    <row r="431" ht="12.75">
      <c r="B431" s="17"/>
    </row>
    <row r="432" ht="12.75">
      <c r="B432" s="17"/>
    </row>
    <row r="433" ht="12.75">
      <c r="B433" s="17"/>
    </row>
    <row r="434" ht="12.75">
      <c r="B434" s="17"/>
    </row>
    <row r="435" ht="12.75">
      <c r="B435" s="17"/>
    </row>
    <row r="436" ht="12.75">
      <c r="B436" s="17"/>
    </row>
    <row r="437" ht="12.75">
      <c r="B437" s="17"/>
    </row>
    <row r="438" ht="12.75">
      <c r="B438" s="17"/>
    </row>
    <row r="439" ht="12.75">
      <c r="B439" s="17"/>
    </row>
    <row r="440" ht="12.75">
      <c r="B440" s="17"/>
    </row>
    <row r="441" ht="12.75">
      <c r="B441" s="17"/>
    </row>
    <row r="442" ht="12.75">
      <c r="B442" s="17"/>
    </row>
    <row r="443" ht="12.75">
      <c r="B443" s="17"/>
    </row>
    <row r="444" ht="12.75">
      <c r="B444" s="17"/>
    </row>
    <row r="445" ht="12.75">
      <c r="B445" s="17"/>
    </row>
    <row r="446" ht="12.75">
      <c r="B446" s="17"/>
    </row>
    <row r="447" ht="12.75">
      <c r="B447" s="17"/>
    </row>
    <row r="448" ht="12.75">
      <c r="B448" s="17"/>
    </row>
    <row r="449" ht="12.75">
      <c r="B449" s="17"/>
    </row>
    <row r="450" ht="12.75">
      <c r="B450" s="17"/>
    </row>
    <row r="451" ht="12.75">
      <c r="B451" s="17"/>
    </row>
    <row r="452" ht="12.75">
      <c r="B452" s="17"/>
    </row>
    <row r="453" ht="12.75">
      <c r="B453" s="17"/>
    </row>
    <row r="454" ht="12.75">
      <c r="B454" s="17"/>
    </row>
    <row r="455" ht="12.75">
      <c r="B455" s="17"/>
    </row>
    <row r="456" ht="12.75">
      <c r="B456" s="17"/>
    </row>
    <row r="457" ht="12.75">
      <c r="B457" s="17"/>
    </row>
    <row r="458" ht="12.75">
      <c r="B458" s="17"/>
    </row>
    <row r="459" ht="12.75">
      <c r="B459" s="17"/>
    </row>
    <row r="460" ht="12.75">
      <c r="B460" s="17"/>
    </row>
    <row r="461" ht="12.75">
      <c r="B461" s="17"/>
    </row>
    <row r="462" ht="12.75">
      <c r="B462" s="17"/>
    </row>
    <row r="463" ht="12.75">
      <c r="B463" s="17"/>
    </row>
    <row r="464" ht="12.75">
      <c r="B464" s="17"/>
    </row>
    <row r="465" ht="12.75">
      <c r="B465" s="17"/>
    </row>
    <row r="466" ht="12.75">
      <c r="B466" s="17"/>
    </row>
    <row r="467" ht="12.75">
      <c r="B467" s="17"/>
    </row>
    <row r="468" ht="12.75">
      <c r="B468" s="17"/>
    </row>
    <row r="469" ht="12.75">
      <c r="B469" s="17"/>
    </row>
    <row r="470" ht="12.75">
      <c r="B470" s="17"/>
    </row>
    <row r="471" ht="12.75">
      <c r="B471" s="17"/>
    </row>
    <row r="472" ht="12.75">
      <c r="B472" s="17"/>
    </row>
    <row r="473" ht="12.75">
      <c r="B473" s="17"/>
    </row>
    <row r="474" ht="12.75">
      <c r="B474" s="17"/>
    </row>
    <row r="475" ht="12.75">
      <c r="B475" s="17"/>
    </row>
    <row r="476" ht="12.75">
      <c r="B476" s="17"/>
    </row>
    <row r="477" ht="12.75">
      <c r="B477" s="17"/>
    </row>
    <row r="478" ht="12.75">
      <c r="B478" s="17"/>
    </row>
    <row r="479" ht="12.75">
      <c r="B479" s="17"/>
    </row>
    <row r="480" ht="12.75">
      <c r="B480" s="17"/>
    </row>
    <row r="481" ht="12.75">
      <c r="B481" s="17"/>
    </row>
    <row r="482" ht="12.75">
      <c r="B482" s="17"/>
    </row>
    <row r="483" ht="12.75">
      <c r="B483" s="17"/>
    </row>
    <row r="484" ht="12.75">
      <c r="B484" s="17"/>
    </row>
    <row r="485" ht="12.75">
      <c r="B485" s="17"/>
    </row>
    <row r="486" ht="12.75">
      <c r="B486" s="17"/>
    </row>
    <row r="487" ht="12.75">
      <c r="B487" s="17"/>
    </row>
    <row r="488" ht="12.75">
      <c r="B488" s="17"/>
    </row>
    <row r="489" ht="12.75">
      <c r="B489" s="17"/>
    </row>
    <row r="490" ht="12.75">
      <c r="B490" s="17"/>
    </row>
    <row r="491" ht="12.75">
      <c r="B491" s="17"/>
    </row>
    <row r="492" ht="12.75">
      <c r="B492" s="17"/>
    </row>
    <row r="493" ht="12.75">
      <c r="B493" s="17"/>
    </row>
    <row r="494" ht="12.75">
      <c r="B494" s="17"/>
    </row>
    <row r="495" ht="12.75">
      <c r="B495" s="17"/>
    </row>
    <row r="496" ht="12.75">
      <c r="B496" s="17"/>
    </row>
    <row r="497" ht="12.75">
      <c r="B497" s="17"/>
    </row>
    <row r="498" ht="12.75">
      <c r="B498" s="17"/>
    </row>
    <row r="499" ht="12.75">
      <c r="B499" s="17"/>
    </row>
    <row r="500" ht="12.75">
      <c r="B500" s="17"/>
    </row>
    <row r="501" ht="12.75">
      <c r="B501" s="17"/>
    </row>
    <row r="502" ht="12.75">
      <c r="B502" s="17"/>
    </row>
    <row r="503" ht="12.75">
      <c r="B503" s="17"/>
    </row>
    <row r="504" ht="12.75">
      <c r="B504" s="17"/>
    </row>
    <row r="505" ht="12.75">
      <c r="B505" s="17"/>
    </row>
    <row r="506" ht="12.75">
      <c r="B506" s="17"/>
    </row>
    <row r="507" ht="12.75">
      <c r="B507" s="17"/>
    </row>
    <row r="508" ht="12.75">
      <c r="B508" s="17"/>
    </row>
    <row r="509" ht="12.75">
      <c r="B509" s="17"/>
    </row>
    <row r="510" ht="12.75">
      <c r="B510" s="17"/>
    </row>
    <row r="511" ht="12.75">
      <c r="B511" s="17"/>
    </row>
    <row r="512" ht="12.75">
      <c r="B512" s="17"/>
    </row>
    <row r="513" ht="12.75">
      <c r="B513" s="17"/>
    </row>
    <row r="514" ht="12.75">
      <c r="B514" s="17"/>
    </row>
    <row r="515" ht="12.75">
      <c r="B515" s="17"/>
    </row>
    <row r="516" ht="12.75">
      <c r="B516" s="17"/>
    </row>
    <row r="517" ht="12.75">
      <c r="B517" s="17"/>
    </row>
    <row r="518" ht="12.75">
      <c r="B518" s="17"/>
    </row>
    <row r="519" ht="12.75">
      <c r="B519" s="17"/>
    </row>
    <row r="520" ht="12.75">
      <c r="B520" s="17"/>
    </row>
    <row r="521" ht="12.75">
      <c r="B521" s="17"/>
    </row>
    <row r="522" ht="12.75">
      <c r="B522" s="17"/>
    </row>
    <row r="523" ht="12.75">
      <c r="B523" s="17"/>
    </row>
    <row r="524" ht="12.75">
      <c r="B524" s="17"/>
    </row>
    <row r="525" ht="12.75">
      <c r="B525" s="17"/>
    </row>
    <row r="526" ht="12.75">
      <c r="B526" s="17"/>
    </row>
    <row r="527" ht="12.75">
      <c r="B527" s="17"/>
    </row>
    <row r="528" ht="12.75">
      <c r="B528" s="17"/>
    </row>
    <row r="529" ht="12.75">
      <c r="B529" s="17"/>
    </row>
    <row r="530" ht="12.75">
      <c r="B530" s="17"/>
    </row>
    <row r="531" ht="12.75">
      <c r="B531" s="17"/>
    </row>
    <row r="532" ht="12.75">
      <c r="B532" s="17"/>
    </row>
    <row r="533" ht="12.75">
      <c r="B533" s="17"/>
    </row>
    <row r="534" ht="12.75">
      <c r="B534" s="17"/>
    </row>
    <row r="535" ht="12.75">
      <c r="B535" s="17"/>
    </row>
    <row r="536" ht="12.75">
      <c r="B536" s="17"/>
    </row>
    <row r="537" ht="12.75">
      <c r="B537" s="17"/>
    </row>
    <row r="538" ht="12.75">
      <c r="B538" s="17"/>
    </row>
    <row r="539" ht="12.75">
      <c r="B539" s="17"/>
    </row>
    <row r="540" ht="12.75">
      <c r="B540" s="17"/>
    </row>
    <row r="541" ht="12.75">
      <c r="B541" s="17"/>
    </row>
    <row r="542" ht="12.75">
      <c r="B542" s="17"/>
    </row>
    <row r="543" ht="12.75">
      <c r="B543" s="17"/>
    </row>
    <row r="544" ht="12.75">
      <c r="B544" s="17"/>
    </row>
  </sheetData>
  <sheetProtection/>
  <mergeCells count="4">
    <mergeCell ref="A2:B2"/>
    <mergeCell ref="A3:B3"/>
    <mergeCell ref="A1:B1"/>
    <mergeCell ref="A5:B5"/>
  </mergeCells>
  <printOptions horizontalCentered="1"/>
  <pageMargins left="0.7" right="0.7" top="0.75" bottom="0.75" header="0.3" footer="0.3"/>
  <pageSetup horizontalDpi="600" verticalDpi="600" orientation="landscape" scale="99" r:id="rId1"/>
</worksheet>
</file>

<file path=xl/worksheets/sheet9.xml><?xml version="1.0" encoding="utf-8"?>
<worksheet xmlns="http://schemas.openxmlformats.org/spreadsheetml/2006/main" xmlns:r="http://schemas.openxmlformats.org/officeDocument/2006/relationships">
  <sheetPr>
    <tabColor rgb="FF92D050"/>
  </sheetPr>
  <dimension ref="A1:D11"/>
  <sheetViews>
    <sheetView view="pageBreakPreview" zoomScale="120" zoomScaleSheetLayoutView="120" zoomScalePageLayoutView="0" workbookViewId="0" topLeftCell="A1">
      <selection activeCell="A10" sqref="A10"/>
    </sheetView>
  </sheetViews>
  <sheetFormatPr defaultColWidth="9.140625" defaultRowHeight="15"/>
  <cols>
    <col min="1" max="1" width="63.57421875" style="11" customWidth="1"/>
    <col min="2" max="2" width="23.00390625" style="11" bestFit="1" customWidth="1"/>
    <col min="3" max="3" width="20.421875" style="11" customWidth="1"/>
    <col min="4" max="16384" width="9.140625" style="11" customWidth="1"/>
  </cols>
  <sheetData>
    <row r="1" spans="1:2" ht="25.5" customHeight="1">
      <c r="A1" s="102" t="s">
        <v>80</v>
      </c>
      <c r="B1" s="102"/>
    </row>
    <row r="2" spans="1:4" ht="87" customHeight="1">
      <c r="A2" s="99" t="s">
        <v>135</v>
      </c>
      <c r="B2" s="99"/>
      <c r="C2" s="16"/>
      <c r="D2" s="16"/>
    </row>
    <row r="3" spans="1:2" ht="13.5" thickBot="1">
      <c r="A3" s="100" t="s">
        <v>13</v>
      </c>
      <c r="B3" s="100"/>
    </row>
    <row r="4" spans="1:2" s="13" customFormat="1" ht="20.25" customHeight="1">
      <c r="A4" s="2" t="s">
        <v>17</v>
      </c>
      <c r="B4" s="3" t="s">
        <v>18</v>
      </c>
    </row>
    <row r="5" spans="1:2" ht="19.5" customHeight="1">
      <c r="A5" s="154" t="s">
        <v>113</v>
      </c>
      <c r="B5" s="156">
        <f>2957639.46-36817.09+245978.76-2459.78</f>
        <v>3164341.35</v>
      </c>
    </row>
    <row r="6" spans="1:2" ht="19.5" customHeight="1">
      <c r="A6" s="154" t="s">
        <v>114</v>
      </c>
      <c r="B6" s="156">
        <f>9367335.92-96469.74</f>
        <v>9270866.18</v>
      </c>
    </row>
    <row r="7" spans="1:2" ht="19.5" customHeight="1">
      <c r="A7" s="154" t="s">
        <v>115</v>
      </c>
      <c r="B7" s="156">
        <f>296777.89-3028.35</f>
        <v>293749.54000000004</v>
      </c>
    </row>
    <row r="8" spans="1:2" ht="19.5" customHeight="1">
      <c r="A8" s="154" t="s">
        <v>116</v>
      </c>
      <c r="B8" s="156">
        <f>118179.74-1205.92</f>
        <v>116973.82</v>
      </c>
    </row>
    <row r="9" spans="1:2" ht="19.5" customHeight="1">
      <c r="A9" s="154" t="s">
        <v>117</v>
      </c>
      <c r="B9" s="156">
        <f>69112.45-839.33</f>
        <v>68273.12</v>
      </c>
    </row>
    <row r="10" spans="1:2" ht="19.5" customHeight="1" thickBot="1">
      <c r="A10" s="155"/>
      <c r="B10" s="157"/>
    </row>
    <row r="11" spans="1:2" ht="56.25" customHeight="1">
      <c r="A11" s="134" t="s">
        <v>82</v>
      </c>
      <c r="B11" s="134"/>
    </row>
  </sheetData>
  <sheetProtection/>
  <mergeCells count="4">
    <mergeCell ref="A2:B2"/>
    <mergeCell ref="A3:B3"/>
    <mergeCell ref="A1:B1"/>
    <mergeCell ref="A11:B11"/>
  </mergeCells>
  <printOptions horizontalCentered="1"/>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Tinatin Tsinaridze</cp:lastModifiedBy>
  <cp:lastPrinted>2013-10-03T14:29:15Z</cp:lastPrinted>
  <dcterms:created xsi:type="dcterms:W3CDTF">2009-04-27T08:15:56Z</dcterms:created>
  <dcterms:modified xsi:type="dcterms:W3CDTF">2018-02-23T12:45:03Z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