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0" windowWidth="14520" windowHeight="12045" tabRatio="806" activeTab="3"/>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s>
  <definedNames>
    <definedName name="_xlnm.Print_Area" localSheetId="2">'4-3'!$A$1:$D$21</definedName>
    <definedName name="_xlnm.Print_Area" localSheetId="3">'4-4'!$A$1:$F$14</definedName>
    <definedName name="_xlnm.Print_Area" localSheetId="4">'5-1 და 5-2 ა'!$A$1:$F$17</definedName>
    <definedName name="_xlnm.Print_Area" localSheetId="5">'5-1 და 5-2 ბ'!$A$1:$L$57</definedName>
    <definedName name="_xlnm.Print_Area" localSheetId="13">'5-10'!$A$1:$H$25</definedName>
    <definedName name="_xlnm.Print_Area" localSheetId="14">'5-11'!$A$1:$F$26</definedName>
    <definedName name="_xlnm.Print_Area" localSheetId="15">'5-12'!$A$1:$F$31</definedName>
    <definedName name="_xlnm.Print_Area" localSheetId="6">'5-3'!$A$1:$M$11</definedName>
    <definedName name="_xlnm.Print_Area" localSheetId="7">'5-4'!$A$1:$D$9</definedName>
    <definedName name="_xlnm.Print_Area" localSheetId="8">'5-5'!$A$1:$C$10</definedName>
    <definedName name="_xlnm.Print_Area" localSheetId="9">'5-6'!$A$1:$B$5</definedName>
    <definedName name="_xlnm.Print_Area" localSheetId="10">'5-7'!$A$1:$B$5</definedName>
    <definedName name="_xlnm.Print_Area" localSheetId="11">'5-8'!$A$1:$B$11</definedName>
    <definedName name="_xlnm.Print_Area" localSheetId="12">'5-9'!$A$1:$B$6</definedName>
  </definedNames>
  <calcPr fullCalcOnLoad="1"/>
</workbook>
</file>

<file path=xl/sharedStrings.xml><?xml version="1.0" encoding="utf-8"?>
<sst xmlns="http://schemas.openxmlformats.org/spreadsheetml/2006/main" count="2065" uniqueCount="621">
  <si>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</si>
  <si>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</si>
  <si>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</si>
  <si>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</si>
  <si>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</si>
  <si>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</si>
  <si>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</si>
  <si>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</si>
  <si>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</si>
  <si>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</si>
  <si>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</si>
  <si>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</si>
  <si>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</si>
  <si>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</si>
  <si>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</si>
  <si>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დაფინანსების წყარო</t>
  </si>
  <si>
    <t>შენიშვნა</t>
  </si>
  <si>
    <t>სულ:</t>
  </si>
  <si>
    <t>ლარებში</t>
  </si>
  <si>
    <t>შესყიდვის ობიექტი</t>
  </si>
  <si>
    <t xml:space="preserve">ხელშეკრულების ღირებულება </t>
  </si>
  <si>
    <t xml:space="preserve">მიმწოდებელი </t>
  </si>
  <si>
    <t xml:space="preserve">გადარიცხული თანხა                               </t>
  </si>
  <si>
    <r>
      <t>ინფორმაცია 20-- წლის განმავლობაში</t>
    </r>
    <r>
      <rPr>
        <sz val="11"/>
        <color theme="1"/>
        <rFont val="Calibri"/>
        <family val="2"/>
      </rPr>
      <t xml:space="preserve"> </t>
    </r>
    <r>
      <rPr>
        <u val="single"/>
        <sz val="11"/>
        <color indexed="8"/>
        <rFont val="Calibri"/>
        <family val="2"/>
      </rPr>
      <t>(ორგანიზაციის დასახელება)</t>
    </r>
    <r>
      <rPr>
        <b/>
        <sz val="14"/>
        <color indexed="8"/>
        <rFont val="Calibri"/>
        <family val="2"/>
      </rPr>
      <t xml:space="preserve"> მიერ გაცემული გრანტების შესახებ</t>
    </r>
    <r>
      <rPr>
        <u val="single"/>
        <sz val="11"/>
        <color indexed="8"/>
        <rFont val="Calibri"/>
        <family val="2"/>
      </rPr>
      <t xml:space="preserve"> (რიცხვი, თვე, წელი) </t>
    </r>
    <r>
      <rPr>
        <b/>
        <sz val="14"/>
        <color indexed="8"/>
        <rFont val="Calibri"/>
        <family val="2"/>
      </rPr>
      <t>მდგომარეობით</t>
    </r>
  </si>
  <si>
    <t>№</t>
  </si>
  <si>
    <t>საგრანტო პროექტის დასახელება</t>
  </si>
  <si>
    <t>გრანტის მიმღები</t>
  </si>
  <si>
    <t>გრანტის მიზნობრიობა</t>
  </si>
  <si>
    <t>გრანტის მოცულობა</t>
  </si>
  <si>
    <t>გადარიცხული თანხის ოდენობა</t>
  </si>
  <si>
    <t>სულ ჯამურად</t>
  </si>
  <si>
    <t>ფონდის დასახელება</t>
  </si>
  <si>
    <t>მიზნობრიობა</t>
  </si>
  <si>
    <t>სამართლებრივი აქტი</t>
  </si>
  <si>
    <t>გადარიცხული თანხა</t>
  </si>
  <si>
    <r>
      <t>ინფორმაცია</t>
    </r>
    <r>
      <rPr>
        <b/>
        <u val="single"/>
        <sz val="11"/>
        <color indexed="8"/>
        <rFont val="Calibri"/>
        <family val="2"/>
      </rPr>
      <t xml:space="preserve"> </t>
    </r>
    <r>
      <rPr>
        <u val="single"/>
        <sz val="11"/>
        <color indexed="8"/>
        <rFont val="Calibri"/>
        <family val="2"/>
      </rPr>
      <t>(ორგანიზაციის დასახელება)-</t>
    </r>
    <r>
      <rPr>
        <b/>
        <sz val="14"/>
        <color indexed="8"/>
        <rFont val="Calibri"/>
        <family val="2"/>
      </rPr>
      <t xml:space="preserve">ისთვის საერთო დანიშნულების სახელმწიფო ფონდებიდან გამოყოფილი სახსრების ხარჯვის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</si>
  <si>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</si>
  <si>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</si>
  <si>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</si>
  <si>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</si>
  <si>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</si>
  <si>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</si>
  <si>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</si>
  <si>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</si>
  <si>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</si>
  <si>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</si>
  <si>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</si>
  <si>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</si>
  <si>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</si>
  <si>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</si>
  <si>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r>
      <t>ინფორმაცია 20-- წლის განმავლობაში</t>
    </r>
    <r>
      <rPr>
        <sz val="11"/>
        <color theme="1"/>
        <rFont val="Calibri"/>
        <family val="2"/>
      </rPr>
      <t xml:space="preserve"> </t>
    </r>
    <r>
      <rPr>
        <u val="single"/>
        <sz val="11"/>
        <color indexed="8"/>
        <rFont val="Calibri"/>
        <family val="2"/>
      </rPr>
      <t>(ორგანიზაციის დასახელება)-</t>
    </r>
    <r>
      <rPr>
        <b/>
        <u val="single"/>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t>
    </r>
    <r>
      <rPr>
        <u val="single"/>
        <sz val="11"/>
        <color indexed="8"/>
        <rFont val="Calibri"/>
        <family val="2"/>
      </rPr>
      <t xml:space="preserve"> (რიცხვი, თვე, წელი) </t>
    </r>
    <r>
      <rPr>
        <b/>
        <sz val="14"/>
        <color indexed="8"/>
        <rFont val="Calibri"/>
        <family val="2"/>
      </rPr>
      <t>მდგომარეობით</t>
    </r>
  </si>
  <si>
    <t xml:space="preserve"> პროექტის დასახელება</t>
  </si>
  <si>
    <t>დონორის დასახელება</t>
  </si>
  <si>
    <t>გრანტის/კრედიტის მიზნობრიობა</t>
  </si>
  <si>
    <t>ჩამორიცხული თანხის ოდენობა</t>
  </si>
  <si>
    <t>საბიუჯეტო ასიგნებები</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</si>
  <si>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</si>
  <si>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</si>
  <si>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</si>
  <si>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</si>
  <si>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</si>
  <si>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</si>
  <si>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</si>
  <si>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</si>
  <si>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</si>
  <si>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</si>
  <si>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</si>
  <si>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</si>
  <si>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</si>
  <si>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</si>
  <si>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</si>
  <si>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</si>
  <si>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</si>
  <si>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</si>
  <si>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</si>
  <si>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</si>
  <si>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</si>
  <si>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</si>
  <si>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</si>
  <si>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</si>
  <si>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</si>
  <si>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</si>
  <si>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</si>
  <si>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</si>
  <si>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</si>
  <si>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</si>
  <si>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</si>
  <si>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</si>
  <si>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</si>
  <si>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</si>
  <si>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</si>
  <si>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</si>
  <si>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</si>
  <si>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</si>
  <si>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</si>
  <si>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</si>
  <si>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</si>
  <si>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</si>
  <si>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rPr>
        <u val="single"/>
        <sz val="11"/>
        <color indexed="8"/>
        <rFont val="Calibri"/>
        <family val="2"/>
      </rPr>
      <t>(ორგანიზაციის დასახელება)-</t>
    </r>
    <r>
      <rPr>
        <b/>
        <sz val="14"/>
        <color indexed="8"/>
        <rFont val="Calibri"/>
        <family val="2"/>
      </rPr>
      <t xml:space="preserve">ის 20-- წლის დამტკიცებული და დაზუსტებული ბიუჯეტი და მისი შესრულება </t>
    </r>
    <r>
      <rPr>
        <u val="single"/>
        <sz val="11"/>
        <color indexed="8"/>
        <rFont val="Calibri"/>
        <family val="2"/>
      </rPr>
      <t xml:space="preserve"> (რიცხვი, თვე, წელი)</t>
    </r>
    <r>
      <rPr>
        <b/>
        <sz val="14"/>
        <color indexed="8"/>
        <rFont val="Calibri"/>
        <family val="2"/>
      </rPr>
      <t xml:space="preserve"> მდგომარეობით</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</si>
  <si>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</si>
  <si>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</si>
  <si>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</si>
  <si>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</si>
  <si>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</si>
  <si>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</si>
  <si>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</si>
  <si>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</si>
  <si>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</si>
  <si>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</si>
  <si>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</si>
  <si>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</si>
  <si>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</si>
  <si>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</si>
  <si>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</si>
  <si>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</si>
  <si>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</si>
  <si>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</si>
  <si>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</si>
  <si>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</si>
  <si>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t>სხვა დანარჩენი თანამშრომელი</t>
  </si>
  <si>
    <t>გრანტის/კრედიტის მოცულობა შესაბამის ვალუტაში</t>
  </si>
  <si>
    <t>ხელშეკრულების მოქმედების ვადა</t>
  </si>
  <si>
    <t>შესაბამის ვალუტაში</t>
  </si>
  <si>
    <t>კონვერტირებული ლარში</t>
  </si>
  <si>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</si>
  <si>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</si>
  <si>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</si>
  <si>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</si>
  <si>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</si>
  <si>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</si>
  <si>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</si>
  <si>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 xml:space="preserve">დანართი </t>
    </r>
    <r>
      <rPr>
        <b/>
        <i/>
        <sz val="12"/>
        <rFont val="Calibri"/>
        <family val="2"/>
      </rPr>
      <t>№5ბ</t>
    </r>
  </si>
  <si>
    <r>
      <rPr>
        <b/>
        <sz val="10"/>
        <rFont val="Sylfaen"/>
        <family val="1"/>
      </rPr>
      <t xml:space="preserve">შენიშვნა *: </t>
    </r>
    <r>
      <rPr>
        <sz val="10"/>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</si>
  <si>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rFont val="Sylfaen"/>
        <family val="1"/>
      </rPr>
      <t xml:space="preserve">შენიშვნა **: </t>
    </r>
    <r>
      <rPr>
        <sz val="10"/>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</si>
  <si>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t>კურსთა შორის სხვაობა</t>
  </si>
  <si>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</si>
  <si>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</si>
  <si>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დანართი ქვეყნდება კვარტალურად, კვარტლის დასრულებიდან 1 თვის განმავლობაში.</t>
    </r>
  </si>
  <si>
    <t>შენიშვნა *: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</si>
  <si>
    <r>
      <rPr>
        <b/>
        <sz val="10"/>
        <color indexed="8"/>
        <rFont val="Calibri"/>
        <family val="2"/>
      </rPr>
      <t>შენიშვნა **: დანართი ქვეყნდება კვარტალურად, კვარტლის დასრულებიდან 1 თვის განმავლობაში.</t>
    </r>
  </si>
  <si>
    <t>შენიშვნა**: დანართი ქვეყნდება კვარტალურად, კვარტლის დასრულებიდან 1 თვის განმავლობაში.</t>
  </si>
  <si>
    <r>
      <rPr>
        <b/>
        <sz val="8"/>
        <color indexed="8"/>
        <rFont val="Calibri"/>
        <family val="2"/>
      </rPr>
      <t>შენიშვნა *: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</si>
  <si>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t xml:space="preserve">რეკლამის მიზნით ვიდეო რგოლის დამზადების სოციალურ ქსელში განსათავსებლად </t>
  </si>
  <si>
    <t xml:space="preserve">რეკლამის მიზნით ვიდეო რგოლის დამზადების სატელევიზიო ეთერში განსათავსებლად </t>
  </si>
  <si>
    <t>საკუთარი სახსრები</t>
  </si>
  <si>
    <r>
      <t>ინფორმაცია</t>
    </r>
    <r>
      <rPr>
        <b/>
        <i/>
        <sz val="12"/>
        <color indexed="8"/>
        <rFont val="Calibri"/>
        <family val="2"/>
      </rPr>
      <t xml:space="preserve"> </t>
    </r>
    <r>
      <rPr>
        <b/>
        <sz val="12"/>
        <color indexed="8"/>
        <rFont val="Calibri"/>
        <family val="2"/>
      </rPr>
      <t>სსიპ საქართველოს იუსტიციის სასწავლო ცენტრის მიერ 01.01.16-დან 01.01.2017-მდე  სარეკლამო რგოლების განთავსების მომსახურების სახელმწიფო შესყიდვის შესახებ</t>
    </r>
  </si>
  <si>
    <r>
      <t xml:space="preserve">სსიპ </t>
    </r>
    <r>
      <rPr>
        <u val="single"/>
        <sz val="11"/>
        <rFont val="Sylfaen"/>
        <family val="1"/>
      </rPr>
      <t>(საქართველოს იუსტიციის სასწავლო ცენტრი)</t>
    </r>
    <r>
      <rPr>
        <b/>
        <sz val="14"/>
        <rFont val="Sylfaen"/>
        <family val="1"/>
      </rPr>
      <t xml:space="preserve">-ის 2016 წლის დამტკიცებული და დაზუსტებული ბიუჯეტები და მათი შესრულება დაფინანსების წყაროების მიხედვით </t>
    </r>
    <r>
      <rPr>
        <u val="single"/>
        <sz val="11"/>
        <rFont val="Sylfaen"/>
        <family val="1"/>
      </rPr>
      <t>(31.12.2016წ)</t>
    </r>
    <r>
      <rPr>
        <b/>
        <sz val="14"/>
        <rFont val="Sylfaen"/>
        <family val="1"/>
      </rPr>
      <t xml:space="preserve"> მდგომარეობით</t>
    </r>
  </si>
  <si>
    <r>
      <t>ინფორმაცია სსიპ საქართველოს იუსტიციის სასწავლო ცენტრის</t>
    </r>
    <r>
      <rPr>
        <b/>
        <sz val="11"/>
        <color indexed="8"/>
        <rFont val="Calibri"/>
        <family val="2"/>
      </rPr>
      <t>-</t>
    </r>
    <r>
      <rPr>
        <b/>
        <sz val="14"/>
        <color indexed="8"/>
        <rFont val="Calibri"/>
        <family val="2"/>
      </rPr>
      <t xml:space="preserve">ის მიერ  </t>
    </r>
    <r>
      <rPr>
        <u val="single"/>
        <sz val="14"/>
        <color indexed="8"/>
        <rFont val="Calibri"/>
        <family val="2"/>
      </rPr>
      <t>(</t>
    </r>
    <r>
      <rPr>
        <b/>
        <sz val="14"/>
        <color indexed="8"/>
        <rFont val="Calibri"/>
        <family val="2"/>
      </rPr>
      <t xml:space="preserve">შრომის ანაზღაურებაზე გაწეული ხარჯების შესახებ </t>
    </r>
    <r>
      <rPr>
        <sz val="11"/>
        <color indexed="8"/>
        <rFont val="Calibri"/>
        <family val="2"/>
      </rPr>
      <t xml:space="preserve">31.12.2016 </t>
    </r>
    <r>
      <rPr>
        <b/>
        <sz val="14"/>
        <color indexed="8"/>
        <rFont val="Calibri"/>
        <family val="2"/>
      </rPr>
      <t xml:space="preserve">მდგომარეობით  </t>
    </r>
  </si>
  <si>
    <r>
      <t xml:space="preserve">ინფორმაცია სსიპ საქართველოს იუსტიციის სასწავლო ცენტრის-ის მიერ მივლინებაზე გაწეული ხარჯების შესახებ  </t>
    </r>
    <r>
      <rPr>
        <sz val="11"/>
        <color indexed="8"/>
        <rFont val="Calibri"/>
        <family val="2"/>
      </rPr>
      <t>31.12.2016-ის</t>
    </r>
    <r>
      <rPr>
        <b/>
        <sz val="11"/>
        <color indexed="8"/>
        <rFont val="Calibri"/>
        <family val="2"/>
      </rPr>
      <t xml:space="preserve"> მდგომარეობით  </t>
    </r>
  </si>
  <si>
    <r>
      <t xml:space="preserve">ინფორმაცია </t>
    </r>
    <r>
      <rPr>
        <u val="single"/>
        <sz val="11"/>
        <color indexed="8"/>
        <rFont val="Calibri"/>
        <family val="2"/>
      </rPr>
      <t xml:space="preserve">სსიპ საქართველოს იუსტიციის სასწავლო ცენტრის </t>
    </r>
    <r>
      <rPr>
        <b/>
        <sz val="14"/>
        <color indexed="8"/>
        <rFont val="Calibri"/>
        <family val="2"/>
      </rPr>
      <t>ბალანსზე რიცხული ავტომანქანების შესახებ</t>
    </r>
    <r>
      <rPr>
        <u val="single"/>
        <sz val="11"/>
        <color indexed="8"/>
        <rFont val="Calibri"/>
        <family val="2"/>
      </rPr>
      <t xml:space="preserve"> 31.12.2016</t>
    </r>
    <r>
      <rPr>
        <b/>
        <sz val="14"/>
        <color indexed="8"/>
        <rFont val="Calibri"/>
        <family val="2"/>
      </rPr>
      <t xml:space="preserve"> მდგომარეობით</t>
    </r>
  </si>
  <si>
    <t xml:space="preserve">Ford Fiesta </t>
  </si>
  <si>
    <t xml:space="preserve">Volkswagen Krafter </t>
  </si>
  <si>
    <t xml:space="preserve">Hyunday van </t>
  </si>
  <si>
    <t xml:space="preserve">Suzuki S cross </t>
  </si>
  <si>
    <t>Skoda Octavia</t>
  </si>
  <si>
    <r>
      <t xml:space="preserve"> ინფორმაცია</t>
    </r>
    <r>
      <rPr>
        <u val="single"/>
        <sz val="11"/>
        <color indexed="8"/>
        <rFont val="Calibri"/>
        <family val="2"/>
      </rPr>
      <t xml:space="preserve"> სსიპ საქართველოს იუსტიციის სასწავლო ცენტრის</t>
    </r>
    <r>
      <rPr>
        <b/>
        <sz val="14"/>
        <color indexed="8"/>
        <rFont val="Calibri"/>
        <family val="2"/>
      </rPr>
      <t xml:space="preserve">-ის მიერ მოხმარებული საწვავის შესახებ </t>
    </r>
    <r>
      <rPr>
        <u val="single"/>
        <sz val="11"/>
        <color indexed="8"/>
        <rFont val="Calibri"/>
        <family val="2"/>
      </rPr>
      <t>31.12.2016</t>
    </r>
    <r>
      <rPr>
        <b/>
        <sz val="14"/>
        <color indexed="8"/>
        <rFont val="Calibri"/>
        <family val="2"/>
      </rPr>
      <t xml:space="preserve"> მდგომარეობით</t>
    </r>
  </si>
  <si>
    <t>2016 წლის განმავლობაში მოხმარებული საწვავის ხარჯი</t>
  </si>
  <si>
    <r>
      <t xml:space="preserve"> ინფორმაცია</t>
    </r>
    <r>
      <rPr>
        <u val="single"/>
        <sz val="11"/>
        <color indexed="8"/>
        <rFont val="Calibri"/>
        <family val="2"/>
      </rPr>
      <t xml:space="preserve"> სსიპ საქართველოს იუსტიციის სასწავლო ცენტრის</t>
    </r>
    <r>
      <rPr>
        <b/>
        <sz val="14"/>
        <color indexed="8"/>
        <rFont val="Calibri"/>
        <family val="2"/>
      </rPr>
      <t xml:space="preserve">-ის ბალანსზე რიცხული ავტოსატრანსპორტო საშუალებების ტექნიკურ მომსახურებაზე გაწეული ხარჯების შესახებ </t>
    </r>
    <r>
      <rPr>
        <u val="single"/>
        <sz val="11"/>
        <color indexed="8"/>
        <rFont val="Calibri"/>
        <family val="2"/>
      </rPr>
      <t>31.12.2016</t>
    </r>
    <r>
      <rPr>
        <b/>
        <sz val="14"/>
        <color indexed="8"/>
        <rFont val="Calibri"/>
        <family val="2"/>
      </rPr>
      <t xml:space="preserve"> მდგომარეობით</t>
    </r>
  </si>
  <si>
    <t>2016 წლის განმავლობაში ავტოსატრანსპორტო საშუალებების ტექნიკურ მომსახურებაზე გაწეული ხარჯები</t>
  </si>
  <si>
    <t>ქ. თბილისი, სანდრო ეულის ქ. N3</t>
  </si>
  <si>
    <t>ყვარელი, ილიას გორა</t>
  </si>
  <si>
    <t>ქ. ზუგდიდი, თეატრის ქ. N2 90.7კვ.მ.</t>
  </si>
  <si>
    <t>ქ. გურჯაანი, თამარ მეფის ქუჩა (47.02 კვ.მ.)</t>
  </si>
  <si>
    <r>
      <t xml:space="preserve"> ინფორმაცია</t>
    </r>
    <r>
      <rPr>
        <u val="single"/>
        <sz val="11"/>
        <color indexed="8"/>
        <rFont val="Calibri"/>
        <family val="2"/>
      </rPr>
      <t xml:space="preserve"> სსიპ საქართველოს იუსტიციის სასწავლო ცენტრი</t>
    </r>
    <r>
      <rPr>
        <b/>
        <sz val="14"/>
        <color indexed="8"/>
        <rFont val="Calibri"/>
        <family val="2"/>
      </rPr>
      <t xml:space="preserve">-ის სატელეფონო საუბრებზე (საერთაშორისო და ადგილობრივი ზარები) გაწეული ხარჯების შესახებ </t>
    </r>
    <r>
      <rPr>
        <u val="single"/>
        <sz val="11"/>
        <color indexed="8"/>
        <rFont val="Calibri"/>
        <family val="2"/>
      </rPr>
      <t>31.12.2016</t>
    </r>
    <r>
      <rPr>
        <b/>
        <sz val="14"/>
        <color indexed="8"/>
        <rFont val="Calibri"/>
        <family val="2"/>
      </rPr>
      <t xml:space="preserve"> მდგომარეობით</t>
    </r>
  </si>
  <si>
    <t>2016 წლის განმავლობაში სატელეფონო საუბრებზე  გაწეული სატელეკომუნიკაციო  ხარჯები ჯამურად</t>
  </si>
  <si>
    <r>
      <t xml:space="preserve">ინფორმაცია </t>
    </r>
    <r>
      <rPr>
        <sz val="11"/>
        <color indexed="8"/>
        <rFont val="Calibri"/>
        <family val="2"/>
      </rPr>
      <t>სსიპ საქართველოს იუსტიციის სასწავლო ცენტრ</t>
    </r>
    <r>
      <rPr>
        <b/>
        <sz val="14"/>
        <color indexed="8"/>
        <rFont val="Calibri"/>
        <family val="2"/>
      </rPr>
      <t xml:space="preserve">-ის ბალანსზე  რიცხული უძრავი ქონების შესახებ </t>
    </r>
    <r>
      <rPr>
        <sz val="11"/>
        <color indexed="8"/>
        <rFont val="Calibri"/>
        <family val="2"/>
      </rPr>
      <t xml:space="preserve"> 31.12.2016</t>
    </r>
    <r>
      <rPr>
        <sz val="14"/>
        <color indexed="8"/>
        <rFont val="Calibri"/>
        <family val="2"/>
      </rPr>
      <t xml:space="preserve"> </t>
    </r>
    <r>
      <rPr>
        <b/>
        <sz val="14"/>
        <color indexed="8"/>
        <rFont val="Calibri"/>
        <family val="2"/>
      </rPr>
      <t>მდგომარეობით</t>
    </r>
  </si>
  <si>
    <t>ქ. ბორჯომი, იუსტიციის სახლისსენობა-ნაგებობის N1 დან  40.3 კვ.მ.</t>
  </si>
  <si>
    <r>
      <t xml:space="preserve">ინფორმაცია </t>
    </r>
    <r>
      <rPr>
        <u val="single"/>
        <sz val="11"/>
        <color indexed="8"/>
        <rFont val="Calibri"/>
        <family val="2"/>
      </rPr>
      <t>(საქართველოს იუსტიციის სასწავლო ცენტრის)</t>
    </r>
    <r>
      <rPr>
        <b/>
        <sz val="14"/>
        <color indexed="8"/>
        <rFont val="Calibri"/>
        <family val="2"/>
      </rPr>
      <t xml:space="preserve">-ის მიერ   სარგებლობის უფლებით გადაცემული ქონების შესახებ </t>
    </r>
    <r>
      <rPr>
        <u val="single"/>
        <sz val="11"/>
        <color indexed="8"/>
        <rFont val="Calibri"/>
        <family val="2"/>
      </rPr>
      <t>31.12.2016</t>
    </r>
    <r>
      <rPr>
        <b/>
        <sz val="14"/>
        <color indexed="8"/>
        <rFont val="Calibri"/>
        <family val="2"/>
      </rPr>
      <t xml:space="preserve"> მდგომარეობით</t>
    </r>
  </si>
  <si>
    <t>შპს თბს ტვ მედია</t>
  </si>
  <si>
    <t>შპს Digital Kitchen Studio</t>
  </si>
  <si>
    <t>შპს არტარეა TV2.0</t>
  </si>
  <si>
    <r>
      <t xml:space="preserve">დანართი </t>
    </r>
    <r>
      <rPr>
        <b/>
        <i/>
        <sz val="11"/>
        <color indexed="8"/>
        <rFont val="Calibri"/>
        <family val="2"/>
      </rPr>
      <t>№1</t>
    </r>
  </si>
  <si>
    <r>
      <t>სსიპ საქართველოს იუსტიციის სასწავლო ცენტრის სახელმწიფო შესყიდვების წლიური გეგმა</t>
    </r>
    <r>
      <rPr>
        <sz val="11"/>
        <color indexed="8"/>
        <rFont val="Calibri"/>
        <family val="2"/>
      </rPr>
      <t xml:space="preserve"> </t>
    </r>
    <r>
      <rPr>
        <i/>
        <u val="single"/>
        <sz val="11"/>
        <color indexed="8"/>
        <rFont val="Calibri"/>
        <family val="2"/>
      </rPr>
      <t>(31.12.16)</t>
    </r>
    <r>
      <rPr>
        <sz val="11"/>
        <color indexed="8"/>
        <rFont val="Calibri"/>
        <family val="2"/>
      </rPr>
      <t xml:space="preserve"> </t>
    </r>
    <r>
      <rPr>
        <b/>
        <sz val="11"/>
        <color indexed="8"/>
        <rFont val="Calibri"/>
        <family val="2"/>
      </rPr>
      <t>მდგომარეობით</t>
    </r>
  </si>
  <si>
    <t>ძირითადი CPV</t>
  </si>
  <si>
    <t>სავარაუდო ღირებულება</t>
  </si>
  <si>
    <t>შესყიდვის საშუალება</t>
  </si>
  <si>
    <t>კვარტლები</t>
  </si>
  <si>
    <t>ერთწლიანი/ მრავალწლიანი</t>
  </si>
  <si>
    <t>შესყიდვის საფუძველი</t>
  </si>
  <si>
    <t>პრეისკურანტით</t>
  </si>
  <si>
    <t>ორეტაპიანი</t>
  </si>
  <si>
    <t>ალტერნატიული</t>
  </si>
  <si>
    <t>ერთობლივი</t>
  </si>
  <si>
    <t>03100000</t>
  </si>
  <si>
    <t>გამ. შესყიდვა</t>
  </si>
  <si>
    <t>I, II, III, IV</t>
  </si>
  <si>
    <t>ზღვრების შესაბამისად</t>
  </si>
  <si>
    <t>სახელმწიფო ბიუჯეტი</t>
  </si>
  <si>
    <t>I, II</t>
  </si>
  <si>
    <t>III, IV</t>
  </si>
  <si>
    <t>IV</t>
  </si>
  <si>
    <t>II, III, IV</t>
  </si>
  <si>
    <t>II, III</t>
  </si>
  <si>
    <t>წარმოამდგენლობითი ხარჯები</t>
  </si>
  <si>
    <t>I, II, III</t>
  </si>
  <si>
    <t>კონს. შესყიდვა</t>
  </si>
  <si>
    <t>პრეზ. ან მთავრ. სამართლებლივი აქტი</t>
  </si>
  <si>
    <t>გამ. ელ. ტენდერი</t>
  </si>
  <si>
    <t>,,50 საჯარო მოხელე" პროექტის ფარგლებში,</t>
  </si>
  <si>
    <t>ნორმატიული აქტით დადგენილი გადასახდელები</t>
  </si>
  <si>
    <t>ელ. ტენდერი</t>
  </si>
  <si>
    <t xml:space="preserve">გამოაცხადა სამინისტრომ ერთობლივი ტენდერი </t>
  </si>
  <si>
    <t>ექსკლუზივი</t>
  </si>
  <si>
    <t>2015 წ დადებული მრავალწლიანი  შესყიდვაა 
განკარგულება 15.05.2015  N930.</t>
  </si>
  <si>
    <t>ბიუჯეტი   სულ:</t>
  </si>
  <si>
    <t>03200000</t>
  </si>
  <si>
    <t>09100000</t>
  </si>
  <si>
    <t>გამოაცხადა სამინისტრომ ერთობლივი ტენდერი</t>
  </si>
  <si>
    <t>2015 წლის ს-075  მრავალწლიანი 2015-ში  21400 ლ და 2016-ში  600 ლ</t>
  </si>
  <si>
    <t>საკუთარი სულ:</t>
  </si>
  <si>
    <t>ერთად სულ:</t>
  </si>
  <si>
    <r>
      <t xml:space="preserve">შენიშვნა: </t>
    </r>
    <r>
      <rPr>
        <sz val="9"/>
        <color indexed="8"/>
        <rFont val="Calibri"/>
        <family val="2"/>
      </rPr>
      <t>დანართი ქვეყნდება კვარტალურად, კვარტლის დასრულებიდან 1 თვის განმავლობაში.</t>
    </r>
  </si>
  <si>
    <r>
      <t xml:space="preserve">დანართი </t>
    </r>
    <r>
      <rPr>
        <b/>
        <i/>
        <sz val="14"/>
        <rFont val="Calibri"/>
        <family val="2"/>
      </rPr>
      <t>№2</t>
    </r>
  </si>
  <si>
    <r>
      <t xml:space="preserve">ინფორმაცია </t>
    </r>
    <r>
      <rPr>
        <b/>
        <sz val="9"/>
        <rFont val="Calibri"/>
        <family val="2"/>
      </rPr>
      <t>სსიპ საქართველოს იუსტიციის სასწავლო ცენტრის მიერ  სახელმწიფო შესყიდვების წლიური გეგმის ფარგლებში  01.01.16-დან    31.12.16-მდე განხორციელებული სახელმწიფო შესყიდვების შესახებ</t>
    </r>
  </si>
  <si>
    <t>მიმწოდებელი</t>
  </si>
  <si>
    <t xml:space="preserve">გადარიცხული თანხები </t>
  </si>
  <si>
    <t>ლარი</t>
  </si>
  <si>
    <t>აშშ დოლარი</t>
  </si>
  <si>
    <t>ევრო</t>
  </si>
  <si>
    <t>ბრიტანეთის საბჭო საქართველოში</t>
  </si>
  <si>
    <t>ინგლისური ენის კურსები</t>
  </si>
  <si>
    <t>გ.  შ.  განკარგულება 15.05.2015  N930</t>
  </si>
  <si>
    <r>
      <t>შპს 09</t>
    </r>
    <r>
      <rPr>
        <sz val="9"/>
        <rFont val="_Times New Roman (Georgian)"/>
        <family val="2"/>
      </rPr>
      <t>.TECH    401981646</t>
    </r>
  </si>
  <si>
    <t>09-ის მომსახურება</t>
  </si>
  <si>
    <t>ელ. ტენდერი (ერთობლივი შესყიდვა)</t>
  </si>
  <si>
    <t>შპს უსაფრთხო კვება</t>
  </si>
  <si>
    <t xml:space="preserve">50 კაცზე კვება </t>
  </si>
  <si>
    <t>გ.  შ.  (წარმომადგენლობითი ) კანონის მე-10' მუხლის მე-3 პუნქტის `ვ~ ქვეპუნქ</t>
  </si>
  <si>
    <t>შპს გურმე</t>
  </si>
  <si>
    <t xml:space="preserve">100  კაცზე კვება არქივის შენობაში </t>
  </si>
  <si>
    <t xml:space="preserve">      შპს   პრინტარეა</t>
  </si>
  <si>
    <t>სარეკლამო მასალა 6 კონვერტი</t>
  </si>
  <si>
    <t>შპს პრიმო   406051052</t>
  </si>
  <si>
    <t>3000 კაცზე კვება 2.93+9 ლარიანი პროექტის კვება თბილისი</t>
  </si>
  <si>
    <t>გ.ე.ტ.</t>
  </si>
  <si>
    <r>
      <t xml:space="preserve"> შპს</t>
    </r>
    <r>
      <rPr>
        <sz val="9"/>
        <rFont val="Calibri"/>
        <family val="2"/>
      </rPr>
      <t xml:space="preserve">  </t>
    </r>
    <r>
      <rPr>
        <sz val="9"/>
        <rFont val="Sylfaen"/>
        <family val="1"/>
      </rPr>
      <t>თაიმსერვისი</t>
    </r>
    <r>
      <rPr>
        <sz val="9"/>
        <rFont val="Calibri"/>
        <family val="2"/>
      </rPr>
      <t xml:space="preserve"> </t>
    </r>
  </si>
  <si>
    <t>თბილისი-ყვარელი-თბილისი</t>
  </si>
  <si>
    <t>გ. შ.</t>
  </si>
  <si>
    <t xml:space="preserve">შპს  სეზანი  </t>
  </si>
  <si>
    <t>ბრენდირებული მასალის ტატიებისგან წიგნის  ბეჭდვა</t>
  </si>
  <si>
    <t>შპს სმართ რითეილი</t>
  </si>
  <si>
    <t>100 სტუმრის კვება</t>
  </si>
  <si>
    <t>შპს მთარგმნელობითი აპარატურა პლუს</t>
  </si>
  <si>
    <t>31.03.16 ში გამართული ღონისძ</t>
  </si>
  <si>
    <t xml:space="preserve"> შპს რედბერი  </t>
  </si>
  <si>
    <t>სარეკლამო  მომსახურებები ფეისბუქი, იუთუბი...</t>
  </si>
  <si>
    <t>შპს თბილისი პარკი</t>
  </si>
  <si>
    <t>საკონფერენციო დარბაზის ,,ანდერვილის" მომსახურება</t>
  </si>
  <si>
    <t>შპს რედ კაფე</t>
  </si>
  <si>
    <t>ფურჟეტი ღონისძიებაზე</t>
  </si>
  <si>
    <t>შპს ,,ჯი-სი-თი“</t>
  </si>
  <si>
    <t>ღონისძიების მუსიკალური გაფორმება</t>
  </si>
  <si>
    <t>ფ/პ  რეზო კიკნაძე</t>
  </si>
  <si>
    <t>სსიპ დაცვის პოლიციის დეპარტამენტი</t>
  </si>
  <si>
    <t>დაცვის მომსახურება ყვარლის  ფილიალში</t>
  </si>
  <si>
    <t>გ.  შ. (ექსკლუზივი)</t>
  </si>
  <si>
    <t>სს სილქნეტი</t>
  </si>
  <si>
    <t>ელ. საკომუნიკაციო მომსახურება თბილისში</t>
  </si>
  <si>
    <t>გ.  შ. (მთავრობის განკარგულება)  წლის 26.09.2012  განკარგულების  #1805</t>
  </si>
  <si>
    <t>ინტერნეტის მომსახურება ყვარელში</t>
  </si>
  <si>
    <t>შპს მაგთიკომი</t>
  </si>
  <si>
    <t>სატელეკომუნიკაციო მომსახურება</t>
  </si>
  <si>
    <t>შპს საქართველოს ფოსტა</t>
  </si>
  <si>
    <t>საფოსტო და საკურიერო მომსახურებები</t>
  </si>
  <si>
    <t>გ.  შ. სახ.შესყიდვების შესახებ კანონის 1 მუხლის მე-3 პუნქტის  ,,ს" ქვეპუნქტი</t>
  </si>
  <si>
    <t xml:space="preserve">112                             შპს მაგთიკომის </t>
  </si>
  <si>
    <t>გ. შ.  (ნორმატიული აქტით)  112 მაგთი</t>
  </si>
  <si>
    <t>შპს დეკორი</t>
  </si>
  <si>
    <t>800 ცალი საბეჭდი ქაღალდი</t>
  </si>
  <si>
    <t>შპს სინქროტელი</t>
  </si>
  <si>
    <t>სხვა მომსახურებები;  თარგმნა</t>
  </si>
  <si>
    <t>შპს ყვარელავტოგზა</t>
  </si>
  <si>
    <t>თოვლის ხვეტის მომსახურება ყვარელში</t>
  </si>
  <si>
    <t xml:space="preserve">შპს Overstock </t>
  </si>
  <si>
    <t>კარტრიჯების დატენვა HP</t>
  </si>
  <si>
    <t xml:space="preserve">შპს მესიჯი </t>
  </si>
  <si>
    <t>დამტენი კომპიუტერის</t>
  </si>
  <si>
    <t xml:space="preserve">შპს ბელუქსი </t>
  </si>
  <si>
    <t>10 პუფი</t>
  </si>
  <si>
    <t>შპს რესტორატორ</t>
  </si>
  <si>
    <t>ყვარლის ჭურჭელი და აქსესუარებ</t>
  </si>
  <si>
    <t>ყვარლის ჭურჭელი და აქსესუარებ  სალესი ქვები</t>
  </si>
  <si>
    <t>ყვარლის ჭურჭელი და აქსესუარებ სამუშაო ფორმა ოფიციანტების</t>
  </si>
  <si>
    <t>ყვარლის ჭურჭელი და აქსესუარებ კონტეინერები და ურნა</t>
  </si>
  <si>
    <t xml:space="preserve"> შპს  ბი ემ სი გორგია</t>
  </si>
  <si>
    <t>სილიკონის 100 მ შლანგი</t>
  </si>
  <si>
    <t>ტესტირება</t>
  </si>
  <si>
    <t xml:space="preserve">„საქართველოს ფრანგული ინსტიტუტი“  </t>
  </si>
  <si>
    <t>შპს გეორგინა</t>
  </si>
  <si>
    <t>კარის სახელურები</t>
  </si>
  <si>
    <t>შპს აღორძინება</t>
  </si>
  <si>
    <t>8 დისპენსერი</t>
  </si>
  <si>
    <t>შპს ივერსი</t>
  </si>
  <si>
    <t>ფლეშკები და მყარი დისკი</t>
  </si>
  <si>
    <t>შპს თბილისი პაკინგი</t>
  </si>
  <si>
    <t>ხელთათმანები</t>
  </si>
  <si>
    <t>ნაგვის პარკები</t>
  </si>
  <si>
    <t>ქლორი</t>
  </si>
  <si>
    <t>ტუალეტის ქაღალდი</t>
  </si>
  <si>
    <t>ცოცხი ჯაგრისები</t>
  </si>
  <si>
    <t>ტილოები</t>
  </si>
  <si>
    <t>საწმენდი საპრიალებელი საშუალებები</t>
  </si>
  <si>
    <t>შპს ალტა</t>
  </si>
  <si>
    <t>ფლეშკა  64 გბ მარკეტინგის ფოტოაპარატისთვის</t>
  </si>
  <si>
    <t>შპს ნეოტექი</t>
  </si>
  <si>
    <t>შლაგბაუმის რედუქტორის მონტაჟი</t>
  </si>
  <si>
    <t>ახალი ნათება</t>
  </si>
  <si>
    <t>ეკო ნათურები</t>
  </si>
  <si>
    <t>სს დაზღვევის საერთაშორისო კომპანია ირაო</t>
  </si>
  <si>
    <t>შკოდა QQ850RR და  ფორდ ფიესტას  OO 176 GG</t>
  </si>
  <si>
    <t>შპს ოემ გრუფ</t>
  </si>
  <si>
    <t xml:space="preserve">კარტრიჯების დატენვა  lemark </t>
  </si>
  <si>
    <t xml:space="preserve">შპს მირა </t>
  </si>
  <si>
    <t>186 ცალიანი ქანჩის 1 კომპლექტი</t>
  </si>
  <si>
    <t>შპს ჯი-სი-თი</t>
  </si>
  <si>
    <t>აუდიო ჩანაწერის გაკეთება</t>
  </si>
  <si>
    <t>კაბელი პრინტერებისთვის</t>
  </si>
  <si>
    <t>100000 ცალი ერთჯერადი წიქა</t>
  </si>
  <si>
    <t>შპს ლატერნა</t>
  </si>
  <si>
    <t>ინგლისურის  9 წიგნი</t>
  </si>
  <si>
    <t>შპს ელ+</t>
  </si>
  <si>
    <t>6 ცალი ცეცხლმაქრი ფხვნილოვანი</t>
  </si>
  <si>
    <t>შპს ოლიმპიადა</t>
  </si>
  <si>
    <t xml:space="preserve">საზაფხულო სკოლის ორგანიზებისთვის კონსულტაცია-კოორდინაციის მომსახურების  </t>
  </si>
  <si>
    <t>შპს პერსან ჯორჯია</t>
  </si>
  <si>
    <t>ფერადი ქაღალდები    100 შეკვრა</t>
  </si>
  <si>
    <t xml:space="preserve"> ბაინდერი და  ფაილები</t>
  </si>
  <si>
    <t>საკანცელარიო საქონელი</t>
  </si>
  <si>
    <t>ინდ/მეწ. ნიკოლოზ მაჭავარიანი</t>
  </si>
  <si>
    <t>სურათის ჩარჩოები</t>
  </si>
  <si>
    <t>შპს  სკს</t>
  </si>
  <si>
    <t>3 ბილეთი თბილისი-ლონდონი თბილისი</t>
  </si>
  <si>
    <t>ჯი თი მოტორსი</t>
  </si>
  <si>
    <t>ს-073  და  ბ-035  ფორდi SQQ-054 თანმდევი საგარანტიო</t>
  </si>
  <si>
    <t>გ. შ. კანონის მე-10/ მუხლის მესამე პუნქტის „თ“ ქვეპუნქტის და  21.01.2011 წლის მთავრობის დადგენილება  N26</t>
  </si>
  <si>
    <t>ი/მ ილია ენუქიძე</t>
  </si>
  <si>
    <t>შტამპი და ბეჭედი</t>
  </si>
  <si>
    <t>20 დამაგრძელებელი კაბელები</t>
  </si>
  <si>
    <t>შპს ღამის ნათება</t>
  </si>
  <si>
    <t>200 ნათურა</t>
  </si>
  <si>
    <t>შპს ბი ემ სი გორგია</t>
  </si>
  <si>
    <t>30 პულივიზატორიანი საღებავები</t>
  </si>
  <si>
    <t>შპს ოფის მიქსი</t>
  </si>
  <si>
    <t>1 ცალი შრედერი - დოკუმენტების გასანადგურებელი აპარატები</t>
  </si>
  <si>
    <t>სსიპ საქართველოს  საკანონმდებლო მაცნე</t>
  </si>
  <si>
    <t>მაცნეს  1 იუზერი მონაცემთა მომსახურება</t>
  </si>
  <si>
    <t>გ. შ.  (ნორმატიული აქტით) განკარგულებაც 2406</t>
  </si>
  <si>
    <t xml:space="preserve">ი/მ ტარიელ  ყულიჯანიშვილის   </t>
  </si>
  <si>
    <t>კვერცხი და თაფლი</t>
  </si>
  <si>
    <t>ზეთები</t>
  </si>
  <si>
    <t xml:space="preserve"> საფრანგეთის საელჩო საქართველოში ( საქართველოს ფრანგული ინსტიტუტი)</t>
  </si>
  <si>
    <t>ფრანგული ენა</t>
  </si>
  <si>
    <t>შპს მვ აუდიტ ჰაუსი</t>
  </si>
  <si>
    <t>ფასწარმოქმნის ადეკვატურობა საექსპერტო მომსახურება დასკვნა  ტენდერისათვის 160010967</t>
  </si>
  <si>
    <t>ფ/პ ირაკლი საათაშვილი</t>
  </si>
  <si>
    <t>92100000 - კინო- და ვიდეომომსახურებები</t>
  </si>
  <si>
    <r>
      <t>ფასწარმოქმნის ადეკვატურობა საექსპერტო მომსახურება დასკვნა  ტენდერისათვის</t>
    </r>
    <r>
      <rPr>
        <sz val="9"/>
        <rFont val="Elephant"/>
        <family val="1"/>
      </rPr>
      <t xml:space="preserve"> </t>
    </r>
    <r>
      <rPr>
        <sz val="9"/>
        <rFont val="Tahoma"/>
        <family val="2"/>
      </rPr>
      <t>SPA1</t>
    </r>
    <r>
      <rPr>
        <sz val="9"/>
        <rFont val="AcadNusx"/>
        <family val="0"/>
      </rPr>
      <t>60014483</t>
    </r>
  </si>
  <si>
    <t>შპს აიდიეს ბორჯომი</t>
  </si>
  <si>
    <t>სასმელი წყალი 5004 ბოთლი</t>
  </si>
  <si>
    <t>შპს მასტერ ქლინერი</t>
  </si>
  <si>
    <t>ხალიჩების ქიმწმენდა</t>
  </si>
  <si>
    <t>შპს მოზაიკა</t>
  </si>
  <si>
    <t>სარეკლამო მისაკრავი ეტიკეტები/სტიკერები და ზოლები</t>
  </si>
  <si>
    <t>შპს დიკა</t>
  </si>
  <si>
    <t>ჭურჭელი ყვარლისთვის</t>
  </si>
  <si>
    <t>შპს უნიქოლორი</t>
  </si>
  <si>
    <t>ფერადი ბაინდერი 15ც</t>
  </si>
  <si>
    <t xml:space="preserve">შპს ,,პრინტარეა“  </t>
  </si>
  <si>
    <t>შპს ენგადი</t>
  </si>
  <si>
    <t>სასმელი წყალი 10000 ბოთლი</t>
  </si>
  <si>
    <t>შპს გლ პრინტ</t>
  </si>
  <si>
    <t>შპს ოფის ერთი</t>
  </si>
  <si>
    <t xml:space="preserve">ფ/პ  გიორგი ყუფარაძე   </t>
  </si>
  <si>
    <t>1 წიგნის თარგმნა</t>
  </si>
  <si>
    <t>ფ/პ ლაშა გიგაური</t>
  </si>
  <si>
    <t>ფოტომომსახურება</t>
  </si>
  <si>
    <t>შპს სკს</t>
  </si>
  <si>
    <t xml:space="preserve">ლაშა მჭედლიშვილის ბილეთების </t>
  </si>
  <si>
    <t xml:space="preserve">ფასწარმოქმნის ადეკვატურობა SPA160018900 </t>
  </si>
  <si>
    <t>შპს ინტერ მედია</t>
  </si>
  <si>
    <t xml:space="preserve">3 ცალი სტიკერი ბანერისთვის </t>
  </si>
  <si>
    <t>შპს გეოინსტრუმენტი</t>
  </si>
  <si>
    <t xml:space="preserve">2 ცალი ელექტროტაქიომეტრის,  2 ცალი ლაზერული მანძილმზომის   და 2 ცალი მაღალი სიზუსტის გეოდეზიური GNSS (GPS კომპლექტი) ხელსაწყოების მომსახურების  შესყიდვა (ქირაობა). </t>
  </si>
  <si>
    <t>შპს თბილისის ბიზნეს სახლი</t>
  </si>
  <si>
    <t>მთარგმნელობითი მომსახურება</t>
  </si>
  <si>
    <t>შპს წიგნის სამყარო</t>
  </si>
  <si>
    <t>18 ცალი ინგლსურის წიგნი</t>
  </si>
  <si>
    <t>შპს ფორმატი</t>
  </si>
  <si>
    <t>საკანცელარიო საქონელი ფლიფჩართის ქაღალდები</t>
  </si>
  <si>
    <t>შპს აუდიტის და შეფასების სახლი</t>
  </si>
  <si>
    <t>ფასწარმოქმნის ადეკვატურობა SPA160025389</t>
  </si>
  <si>
    <t>შპს ულტრა</t>
  </si>
  <si>
    <t>ლაზერული პრინტერები 5  შავ-თეთრ</t>
  </si>
  <si>
    <t>შპს სერვისკომპლექტი</t>
  </si>
  <si>
    <t>2 კომპიუტერის შეკეთება</t>
  </si>
  <si>
    <t>სასმელი წყალი 5100 ბოთლი</t>
  </si>
  <si>
    <t xml:space="preserve">შპს ოლპრინტჯი </t>
  </si>
  <si>
    <t>1 ცალი შტენდერი-ბანერით</t>
  </si>
  <si>
    <t>შპს შტამპი</t>
  </si>
  <si>
    <t>მელანი (5 ლურჯი+2 წითელი)</t>
  </si>
  <si>
    <t>12  ცალი ინგლსურის წიგნი</t>
  </si>
  <si>
    <t>შპს თეგეტა მოტორსი</t>
  </si>
  <si>
    <t>ანტიფრიზი</t>
  </si>
  <si>
    <t>SZUTEST</t>
  </si>
  <si>
    <t>საერთაშორისო სტარნდარტის ISO 9001:2008 სერტიფიკ მოთხოვნებთან შესაბამისობის დადგენა</t>
  </si>
  <si>
    <t>სსიპ საქ. საკანონმდებლო მაცნე</t>
  </si>
  <si>
    <t xml:space="preserve">მაცნეში გამოქვეყნება 14/1454 წერილის  2 გვერდი
</t>
  </si>
  <si>
    <t>გ.  შ. (ნორმატიული)  საქართველოს კანონის 10' მუხლის მე-3 პუნქტის ,,ზ'' ქვეპუნქტის თანახმად</t>
  </si>
  <si>
    <t>შპს სუპერი</t>
  </si>
  <si>
    <t xml:space="preserve"> ნაძვის ხის ნათურები</t>
  </si>
  <si>
    <t xml:space="preserve">ა(ა)იპ რეალური ცვლილებებისთვის </t>
  </si>
  <si>
    <t xml:space="preserve"> ნაძვის ხის სათამაშოები</t>
  </si>
  <si>
    <t>შპს სტატიო</t>
  </si>
  <si>
    <t>ტუალეტის ქაღალდი და ხელსახოცები 960 ცალი</t>
  </si>
  <si>
    <t>შპს ავტოექსპერტიზა</t>
  </si>
  <si>
    <t xml:space="preserve">ავტო-ტექ მომსახურება    (SKODA OQTAVIA“- (სახN QQ 850 RR) ) </t>
  </si>
  <si>
    <t>სულ საბიუჯეტო</t>
  </si>
  <si>
    <t xml:space="preserve">შპს ლაინკუბი    </t>
  </si>
  <si>
    <t xml:space="preserve">ყვარელში ფერდობის სტაბილიზაციის და კეთილმოწყობის პროექტი
</t>
  </si>
  <si>
    <t>შპს ჯი-თი მოტორსი</t>
  </si>
  <si>
    <r>
      <t xml:space="preserve">ფორდ ფიესტა </t>
    </r>
    <r>
      <rPr>
        <sz val="9"/>
        <rFont val="Sylfaen"/>
        <family val="1"/>
      </rPr>
      <t>თანმდევი  საგარანტ</t>
    </r>
    <r>
      <rPr>
        <sz val="9"/>
        <rFont val="Sylfaen"/>
        <family val="1"/>
      </rPr>
      <t xml:space="preserve"> ავტო-ტექ მომსახურება </t>
    </r>
    <r>
      <rPr>
        <sz val="9"/>
        <rFont val="Sylfaen"/>
        <family val="1"/>
      </rPr>
      <t>OO176GG</t>
    </r>
  </si>
  <si>
    <r>
      <t xml:space="preserve">სუზუკის </t>
    </r>
    <r>
      <rPr>
        <sz val="9"/>
        <rFont val="Sylfaen"/>
        <family val="1"/>
      </rPr>
      <t>თანმდევი  საგარანტ</t>
    </r>
    <r>
      <rPr>
        <sz val="9"/>
        <rFont val="Sylfaen"/>
        <family val="1"/>
      </rPr>
      <t xml:space="preserve"> ავტო-ტექ მომსახურება </t>
    </r>
  </si>
  <si>
    <t>გ.  შ.  განკარგულება 15.052015  N930</t>
  </si>
  <si>
    <t>პსპ დაზღვევა  204545572</t>
  </si>
  <si>
    <t>ავტოტრანსპორტის დაზღვევა</t>
  </si>
  <si>
    <t>ე. ტ (ერთობლივი )</t>
  </si>
  <si>
    <t xml:space="preserve"> შპს აიფიემ კვლევები</t>
  </si>
  <si>
    <t>მედიამონიტორინგისა და საინფორმაციო მომსახურ</t>
  </si>
  <si>
    <t>გ.ე.ტ. (ერთობლივი )</t>
  </si>
  <si>
    <t xml:space="preserve">შპს „თბს ტვ მედია“, </t>
  </si>
  <si>
    <t xml:space="preserve">ვიდ.ფილმების ჩვენების  მომსახურებები </t>
  </si>
  <si>
    <t>ე.ტ. (ერთობლივი )</t>
  </si>
  <si>
    <t>შპს ბრენდმოლ-ჯორჯია+</t>
  </si>
  <si>
    <t>თურქეთში წასაღები საჩუქრები</t>
  </si>
  <si>
    <t>შპს გუდვილი</t>
  </si>
  <si>
    <t xml:space="preserve"> ღონისძიებების ორგანიზება 18 მაისის ღონისძიება,,ეევროკავშირის მართმსაჯულე იმიტირებ. სასამართ პროცესი"</t>
  </si>
  <si>
    <t>სასტუმროებისა და რესტორნების მენეჯმენტ ჯგუფი - ემ/გრუპ”</t>
  </si>
  <si>
    <t xml:space="preserve"> ღონისძიებების ორგანიზება  ბრითიშ კონსილის ინგლის სერთიფ გადაცემა</t>
  </si>
  <si>
    <t xml:space="preserve"> საკვების მიწოდების მომსახურება</t>
  </si>
  <si>
    <t>შპს გლორია</t>
  </si>
  <si>
    <t xml:space="preserve">55300000 - რესტორნებისა და კვების საწარმოების მომსახურეობები </t>
  </si>
  <si>
    <t>სსიპ "სმართ ლოჯიქი" (SMART LOGIC)</t>
  </si>
  <si>
    <t>ტექნიკური კომპიუტერული უზრუნველყოფა</t>
  </si>
  <si>
    <t>გ.  შ. (მთავრობის განკარგულება)2012 წლის 14 მაისის N929 განკარგულების საფუძველზე</t>
  </si>
  <si>
    <t>შპს რომპეტროლ საქართველო</t>
  </si>
  <si>
    <t>ბენზინი პრემიუმი13200 ლ   (ოქტანობა არანაკლებ 95)</t>
  </si>
  <si>
    <t>კონს.  ტენდერი</t>
  </si>
  <si>
    <t>დიზელი  Efix EURO Diesel-ის 13200 ლ   დიზელის ევროდიზელი (არაუმეტეს 10PPM)</t>
  </si>
  <si>
    <t>სსიპ საჯარო რეესტრის ეროვნული სააგენტო</t>
  </si>
  <si>
    <t>დოკუმენტბრუნვის ელ სისტემაში ჩართვა</t>
  </si>
  <si>
    <t>გ.  შ. (მთავრობის განკარგულება)  )  განკარგულების საფუძველზე და 23.03.2012  N496</t>
  </si>
  <si>
    <t>შპს სი ტი პარკი</t>
  </si>
  <si>
    <t>სითიპარკი            1 მანქანის 12 თვე OO176GG</t>
  </si>
  <si>
    <t xml:space="preserve">გ. შ. </t>
  </si>
  <si>
    <t>შპს ავტობანი  2000</t>
  </si>
  <si>
    <t xml:space="preserve">მანქანა  ხალიჩა 1 კომპლექტი fordi 00176GG </t>
  </si>
  <si>
    <t>შპს ოცდაერთი</t>
  </si>
  <si>
    <t>საავტომობილო ტრანსპორტის დამხმარე მომსახურებები ევაკუატორის</t>
  </si>
  <si>
    <t>ფორდ ფიესტა SQQ-054 ავტო-ტექ მომსახურება  თანმდევი საგარანტიო</t>
  </si>
  <si>
    <t>შპს იბერია ავტოჰაუსი</t>
  </si>
  <si>
    <t>„ფოლკსვაგენ კრაფტერისთვის“ (სახ#HCH-131) ყვარელის</t>
  </si>
  <si>
    <t>3000 კაცზე კვება 2.93+9 ლარიანი</t>
  </si>
  <si>
    <t xml:space="preserve">ი/მ
კობა კეღოშვილი  </t>
  </si>
  <si>
    <t>უალკოჰოლო სასმელები</t>
  </si>
  <si>
    <t>შპს სუპერ ტვ</t>
  </si>
  <si>
    <t>სატელევიზიო და რადიომომსახურებები 2წერტილი თბილისსი</t>
  </si>
  <si>
    <t xml:space="preserve">ი/მ უშანგი მოსიაშვილი    </t>
  </si>
  <si>
    <t xml:space="preserve">პური, ცომეული და სუნელები </t>
  </si>
  <si>
    <t>სსიპნსაქ. შსს მომსახურების სააგენტო</t>
  </si>
  <si>
    <t>ნომრის აღება</t>
  </si>
  <si>
    <t>სუზუკის ავტო-ტექ მომსახურება  არათამდევი</t>
  </si>
  <si>
    <t>სითიპარკი   1 მანქანის 12 თვე   QQ850RR</t>
  </si>
  <si>
    <t xml:space="preserve">შპს ,,ვისოლ ავტო ექსპრესი“  </t>
  </si>
  <si>
    <t>30 ლიტ ანტიფრიზი</t>
  </si>
  <si>
    <t xml:space="preserve">ბოსტნეული   და  ხილი  </t>
  </si>
  <si>
    <t xml:space="preserve">ტარიელი ყულიჯანიშვილი </t>
  </si>
  <si>
    <t>ხორცეული</t>
  </si>
  <si>
    <t>თევზეული</t>
  </si>
  <si>
    <t>მჟავეულობა   და მურაბები</t>
  </si>
  <si>
    <t xml:space="preserve">ი/მ
ნიკოლოზ ხაჩატურიანი  </t>
  </si>
  <si>
    <t>რძის პროდუქტები</t>
  </si>
  <si>
    <t xml:space="preserve">შპს დეზინსერვისი </t>
  </si>
  <si>
    <t>დეზინფექცია თბილისში</t>
  </si>
  <si>
    <t xml:space="preserve">LTD GNG COMPANY  </t>
  </si>
  <si>
    <t>4500 სერთიფიკატის ბეჭდვა</t>
  </si>
  <si>
    <t>სავალდებულო ფინანს. აუდიტი</t>
  </si>
  <si>
    <t>სს ჰიუნდაი ავტო საქართველო</t>
  </si>
  <si>
    <t>ავტო-ტექ მომსახურება (სახ#AA868GG)  მანქანა</t>
  </si>
  <si>
    <t>საპონი და ხელსახოცი</t>
  </si>
  <si>
    <t>ფოტოაპარატი ლინზით</t>
  </si>
  <si>
    <t xml:space="preserve">შპს "ახალი ამბების სააგენტო კაუკასუსნიუსი" </t>
  </si>
  <si>
    <t>მედეა მონიტორინგი</t>
  </si>
  <si>
    <t xml:space="preserve">შპს „ესაბი“ </t>
  </si>
  <si>
    <t>2 ლეპტოპი</t>
  </si>
  <si>
    <t>ი/მ ლია უგრეხელიძე</t>
  </si>
  <si>
    <t>2  კარადა</t>
  </si>
  <si>
    <t>შპს ვისოლ ავტო ექსპრესი</t>
  </si>
  <si>
    <t>4 საბურავი შკოდა ოქტავიას QQ850RR</t>
  </si>
  <si>
    <t>შპს აქსელ +</t>
  </si>
  <si>
    <t>ციფრული ბეჭდვა</t>
  </si>
  <si>
    <t>შპს იბერია სერვისი</t>
  </si>
  <si>
    <t>ავტო-ტექ მომსახურება შკოდას  ტექმომსახურება (SKODA OQTAVIA“-ს (სახ#CJC-797) )</t>
  </si>
  <si>
    <t>შპს ჰიდროსაიზოლაციო ტექნოლოგიები</t>
  </si>
  <si>
    <t>დეკი და ჰიდროიზოლაცია</t>
  </si>
  <si>
    <t>შპს ეკოლაინი</t>
  </si>
  <si>
    <t>2 ც  მტვერსასრუტი</t>
  </si>
  <si>
    <t>შპს ეკო ჯგუფი</t>
  </si>
  <si>
    <t>SKODA OQTAVIA“-ს (სახ# QQ-850-RR)  ქიმწმენდა</t>
  </si>
  <si>
    <t>შპს ტექნოჰაუსი</t>
  </si>
  <si>
    <t>2 მაცივარი</t>
  </si>
  <si>
    <t xml:space="preserve">შპს ულტრა  </t>
  </si>
  <si>
    <t>კარტრიჯები HP Lasejet1536 dnf
MFP პრინტერთან
თავსებადი</t>
  </si>
  <si>
    <t>შპს   ,,ვესტა“  202159788</t>
  </si>
  <si>
    <t>ბრენდირებული: ჩანთა,  ჭიქა, სტიკერი, მისური,ვიზიტკ შენდერი.. სარეკლ. მასალა</t>
  </si>
  <si>
    <t xml:space="preserve"> 1 ცალი კარადა</t>
  </si>
  <si>
    <t>სსიპ საქართველოს ტექნიკური უნივერსიტეტი</t>
  </si>
  <si>
    <t>ტესტირება გეპეიში 50 საჯ მოხელის პროექტი და სამსახურისთვის</t>
  </si>
  <si>
    <t>შპს მიკროენერგეტიკა</t>
  </si>
  <si>
    <t>წყლის ფილტრაციაზე დამონტაჟ ძრავის შეკეთება</t>
  </si>
  <si>
    <t>შპს გენი</t>
  </si>
  <si>
    <t>ორკომპონენტიანი წები 10 წებო</t>
  </si>
  <si>
    <t xml:space="preserve"> შპს არტარეა TV2.0      </t>
  </si>
  <si>
    <t xml:space="preserve">3 ცალი 3-6 წთ ვიდეო რგოლი </t>
  </si>
  <si>
    <t>შპს ბრაით ინდუსტრი</t>
  </si>
  <si>
    <t xml:space="preserve">სარეცხი ნაქანის სიხშირული გადამრთველი-ინვენტორი </t>
  </si>
  <si>
    <t>შპს ჯითი მოტორსი</t>
  </si>
  <si>
    <t>ავტო-ტექ მომსახურება ფორდფიესტა  FORD Fiesta-SQQ-054,</t>
  </si>
  <si>
    <t xml:space="preserve">     შპს თბილისის ბიზნეს სახლი</t>
  </si>
  <si>
    <t>თარგმნელობითი მომსახურება</t>
  </si>
  <si>
    <t>ფქვილი</t>
  </si>
  <si>
    <t>ფ/პ ანა ხუციშვილი</t>
  </si>
  <si>
    <t>კედლის მოხატვა სანდრო ეულის 3 ში</t>
  </si>
  <si>
    <t>შპს ევროტექ. სერვისი</t>
  </si>
  <si>
    <t>გაზონის საკრეჭ აპარატის შეკეთება</t>
  </si>
  <si>
    <t xml:space="preserve">შპს SKY GROUP    </t>
  </si>
  <si>
    <t>ზედამხედველობა თბილისში და ყვარელში</t>
  </si>
  <si>
    <t>პილასოსის შეკეთება</t>
  </si>
  <si>
    <t>4  ზაფხულის  საბურავი Ford Fiesta  SQQ-054 R</t>
  </si>
  <si>
    <t>სსიპ “სახელმწიფო შესყიდვების სააგენტო“ (</t>
  </si>
  <si>
    <t>ტენდერის გამოქვეყნება</t>
  </si>
  <si>
    <t>ს/ს საქართველოს ბანკი</t>
  </si>
  <si>
    <t>საბანკო და საინვესტიციო მომსახურებები</t>
  </si>
  <si>
    <t>შპს მათე</t>
  </si>
  <si>
    <t>14  მაისის დასუფთავების ღონისძიებისათვის სპეც ტანსაცმელი</t>
  </si>
  <si>
    <t>შპს ჯრკ ჯგუფი</t>
  </si>
  <si>
    <t>დეზინფექცია, დერატიზაცია</t>
  </si>
  <si>
    <t xml:space="preserve"> შპს Digital Kitchen Studio                   </t>
  </si>
  <si>
    <t xml:space="preserve">გრაფიკული ვიდეორგოლი პროექტისთვის „სამოქალაქო საზოგადოების განვითარება“. </t>
  </si>
  <si>
    <t>შპს ტოიოტა ცენტრი  თგეტა</t>
  </si>
  <si>
    <t xml:space="preserve">4  ზაფხულის  საბურავი 215/70/16 hiundai AA868GG </t>
  </si>
  <si>
    <t xml:space="preserve">შპს ტოტალ სერვისი    </t>
  </si>
  <si>
    <t>ბრენდირებული: ბლოკნოტი,აფიშები,ბუკლეტები,შტენდერი და ნაკიტკა.</t>
  </si>
  <si>
    <t>გლობალკონტაქტ კონსალტინგი</t>
  </si>
  <si>
    <t>სატელევიზიო და რადიომომსახურებები ყვარელში</t>
  </si>
  <si>
    <t>ი/მ სალომე ეფრემიძე</t>
  </si>
  <si>
    <t>32343200 - მეგაფონები-რუპორები</t>
  </si>
  <si>
    <t>შპს ჯორჯიან გრუპი</t>
  </si>
  <si>
    <t xml:space="preserve"> წებოვანი ლენტები</t>
  </si>
  <si>
    <t xml:space="preserve">  დეკი და ჰიდროიზოლაცია</t>
  </si>
  <si>
    <t xml:space="preserve">გ.  შ.  განკარგულება </t>
  </si>
  <si>
    <t xml:space="preserve">ავტო-ტექ მომსახურება  შკოდას  ტექმომსახურება (SKODA OQTAVIA“-ს (სახ#CJC-797) ) </t>
  </si>
  <si>
    <t>ფ/პ გიორგი გიაშვილი</t>
  </si>
  <si>
    <t>მომსახურებები საკანალიზაციო მილების გაწმენდის სფეროში ყვარელში</t>
  </si>
  <si>
    <t>ი/მ მიხეილ ხიზანიშვილი</t>
  </si>
  <si>
    <t>ტრანსპორტირება თბილისში ილიას უნივერსიტეტიდან</t>
  </si>
  <si>
    <t>დინამიკები</t>
  </si>
  <si>
    <t>შპს ოფის სეტი</t>
  </si>
  <si>
    <t>15 დამაგრძელებელი კაბელები</t>
  </si>
  <si>
    <t>შპს  თაიმსერვისი</t>
  </si>
  <si>
    <t xml:space="preserve">საავტომობილო ტრანსპ მომს.,,სამოქალაქო საზოგადოების განვითარება“ პროექტის ფარგლებში </t>
  </si>
  <si>
    <t>სსიპ საქართველოს სტანდარტებისა და მეტროლოგიის ეროვნული სააგენტო</t>
  </si>
  <si>
    <t>სსტ ისო/იეკ 17024:2012/14 სტანდარტის შესყიდვა</t>
  </si>
  <si>
    <t>შპს ნექსტ+</t>
  </si>
  <si>
    <t>3 ტომარა ამონიუმის გვარჯილა</t>
  </si>
  <si>
    <t>შპს ტექ</t>
  </si>
  <si>
    <t>5 ელექტროუთო</t>
  </si>
  <si>
    <t>შპს ,გამომცემლობა სამშობლო</t>
  </si>
  <si>
    <t xml:space="preserve"> 500 ცალი საიმიჯო კატალოგის ბეჭდვა   </t>
  </si>
  <si>
    <t xml:space="preserve">შპს   აიკომფორტი  </t>
  </si>
  <si>
    <t>100 ბალიში</t>
  </si>
  <si>
    <t>შპს  KMT GROUP</t>
  </si>
  <si>
    <t>საკანცელარიო</t>
  </si>
  <si>
    <t>შპს გუდს</t>
  </si>
  <si>
    <t>ვენტილატორი</t>
  </si>
  <si>
    <t>შპს სითი მასტერი</t>
  </si>
  <si>
    <t>ყვარელში ფანჯრების წმენდა</t>
  </si>
  <si>
    <t>შპს  მედიკა Medica</t>
  </si>
  <si>
    <t>18812400 - ფლოსტები</t>
  </si>
  <si>
    <t>12000 სერთიფიკატის ბეჭდვა</t>
  </si>
  <si>
    <t>სსიპ ”აკრედიტაციის ერთიანი ეროვნული ორგანო - აკრედიტაციის ცენტრი“</t>
  </si>
  <si>
    <r>
      <t xml:space="preserve">უძრავი ნივთის საკადასტრო/აზომვითი სამუშაოების შესრულებაზე უფლებამოსილ  </t>
    </r>
    <r>
      <rPr>
        <sz val="9"/>
        <rFont val="Sylfaen"/>
        <family val="1"/>
      </rPr>
      <t>მომსახურებები კვლევისა და ექსპერიმენტული განვითარების სფეროში</t>
    </r>
  </si>
  <si>
    <t>შპს ფაბრიკა ლ</t>
  </si>
  <si>
    <t>ყვარელისთვის კერვის მომსახურება</t>
  </si>
  <si>
    <t>შპს კობი ჯგუფი</t>
  </si>
  <si>
    <t xml:space="preserve"> მიწის სარეაბილიტაციო სამუშაოები ყვარელში</t>
  </si>
  <si>
    <t>ბილეთების შესყიდვა</t>
  </si>
  <si>
    <t>საკანცელარიო პროექტის</t>
  </si>
  <si>
    <t xml:space="preserve">სსიპ  საქართველოს ტექნიკური უნივერსიტეტი  </t>
  </si>
  <si>
    <t>გეპეის ტესტირება</t>
  </si>
  <si>
    <t>კერხელის აპარატის შლანგის შეკეთება</t>
  </si>
  <si>
    <t>შპს თურსა</t>
  </si>
  <si>
    <t>ჭურჭელი ყვარლის</t>
  </si>
  <si>
    <t>ფ/პ ბექა ბერიძე</t>
  </si>
  <si>
    <t>გრაფიკული ვიზუალი თემატური ასოები</t>
  </si>
  <si>
    <t>შპს რეკა +</t>
  </si>
  <si>
    <t>ფოტომომსახურებები</t>
  </si>
  <si>
    <r>
      <t xml:space="preserve">სითიპარკი     </t>
    </r>
    <r>
      <rPr>
        <sz val="9"/>
        <rFont val="AcadNusx"/>
        <family val="0"/>
      </rPr>
      <t>12 თვე.
 ჰიუნდაი H1 სახ.ნომრით</t>
    </r>
    <r>
      <rPr>
        <sz val="9"/>
        <rFont val="Tahoma"/>
        <family val="2"/>
      </rPr>
      <t xml:space="preserve"> AA-868-GG</t>
    </r>
    <r>
      <rPr>
        <sz val="9"/>
        <rFont val="AcadNusx"/>
        <family val="0"/>
      </rPr>
      <t>,
 ფორდ ფიესტა სახ.ნომრით</t>
    </r>
    <r>
      <rPr>
        <sz val="9"/>
        <rFont val="Tahoma"/>
        <family val="2"/>
      </rPr>
      <t xml:space="preserve"> SQQ-054,</t>
    </r>
    <r>
      <rPr>
        <sz val="9"/>
        <rFont val="AcadNusx"/>
        <family val="0"/>
      </rPr>
      <t xml:space="preserve"> 
სუზუკი კროოსი სახ.ნომრით</t>
    </r>
    <r>
      <rPr>
        <sz val="9"/>
        <rFont val="Tahoma"/>
        <family val="2"/>
      </rPr>
      <t xml:space="preserve"> LG-494-GL</t>
    </r>
    <r>
      <rPr>
        <sz val="9"/>
        <rFont val="AcadNusx"/>
        <family val="0"/>
      </rPr>
      <t>,  
ვოლცვაგენ კრაფტერი</t>
    </r>
    <r>
      <rPr>
        <sz val="9"/>
        <rFont val="Tahoma"/>
        <family val="2"/>
      </rPr>
      <t xml:space="preserve"> HCH-131</t>
    </r>
  </si>
  <si>
    <t>4 ზამთრის  საბურავი Skoda oqtavia   QQ850RR-სთვის   (R16/ 205/55)</t>
  </si>
  <si>
    <t xml:space="preserve">15900000 - სასმელები, თამბაქო და მონათესავე პროდუქტები </t>
  </si>
  <si>
    <t>შპს პრიმო</t>
  </si>
  <si>
    <t>55300000 - რესტორნებისა და კვების საწარმოების მომსახურეობები   თბილისი</t>
  </si>
  <si>
    <t>შპს ტრანსლიდერი</t>
  </si>
  <si>
    <t>ტრანსპორტირება თბილის-ყვარელი- თბილისი</t>
  </si>
  <si>
    <t>შპს სიმეტრია</t>
  </si>
  <si>
    <t>ტუალეტის ქაღალდები 1378 ცალი</t>
  </si>
  <si>
    <t>6 კაცის ტესტირება</t>
  </si>
  <si>
    <t>ტექმომსახურება„ფოლკსვაგენ კრაფტერისთვის“ (სახ#HCH-131) ყვარელის</t>
  </si>
  <si>
    <t>სატელევიზიო და რადიომომსახურებები  ყვარელში</t>
  </si>
  <si>
    <t xml:space="preserve">შპს 5 Star      </t>
  </si>
  <si>
    <t>შენიშვნა *: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</si>
  <si>
    <t>შენიშვნა **: დანართი ქვეყნდება კვარტალურად, კვარტლის დასრულებიდან 1 თვის განმავლობაში.</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</si>
</sst>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 numFmtId="187" formatCode="0.00;[Red]0.00"/>
    <numFmt numFmtId="188" formatCode="0.0;[Red]0.0"/>
    <numFmt numFmtId="189" formatCode="_-* #,##0.00_р_._-;\-* #,##0.00_р_._-;_-* &quot;-&quot;??_р_._-;_-@_-"/>
    <numFmt numFmtId="190" formatCode="_(* #,##0.0000_);_(* \(#,##0.0000\);_(* &quot;-&quot;??_);_(@_)"/>
    <numFmt numFmtId="191" formatCode="_(* #,##0.00000_);_(* \(#,##0.00000\);_(* &quot;-&quot;??_);_(@_)"/>
    <numFmt numFmtId="192" formatCode="_(* #,##0.000000_);_(* \(#,##0.000000\);_(* &quot;-&quot;??_);_(@_)"/>
    <numFmt numFmtId="193" formatCode="[$-10409]#,##0.00"/>
  </numFmts>
  <fonts count="106">
    <font>
      <sz val="11"/>
      <color theme="1"/>
      <name val="Calibri"/>
      <family val="2"/>
    </font>
    <font>
      <sz val="11"/>
      <color indexed="8"/>
      <name val="Calibri"/>
      <family val="2"/>
    </font>
    <font>
      <b/>
      <sz val="8"/>
      <name val="Sylfaen"/>
      <family val="1"/>
    </font>
    <font>
      <b/>
      <sz val="8"/>
      <name val="Arial"/>
      <family val="2"/>
    </font>
    <font>
      <b/>
      <sz val="8"/>
      <name val="LitNusx"/>
      <family val="2"/>
    </font>
    <font>
      <sz val="8"/>
      <name val="Arial"/>
      <family val="2"/>
    </font>
    <font>
      <i/>
      <sz val="8"/>
      <name val="LitNusx"/>
      <family val="2"/>
    </font>
    <font>
      <i/>
      <sz val="8"/>
      <name val="Sylfaen"/>
      <family val="1"/>
    </font>
    <font>
      <b/>
      <sz val="10"/>
      <name val="Sylfaen"/>
      <family val="1"/>
    </font>
    <font>
      <b/>
      <sz val="11"/>
      <color indexed="8"/>
      <name val="Calibri"/>
      <family val="2"/>
    </font>
    <font>
      <sz val="10"/>
      <color indexed="8"/>
      <name val="Calibri"/>
      <family val="2"/>
    </font>
    <font>
      <b/>
      <sz val="10"/>
      <color indexed="8"/>
      <name val="Calibri"/>
      <family val="2"/>
    </font>
    <font>
      <b/>
      <sz val="14"/>
      <color indexed="8"/>
      <name val="Calibri"/>
      <family val="2"/>
    </font>
    <font>
      <sz val="14"/>
      <color indexed="8"/>
      <name val="Calibri"/>
      <family val="2"/>
    </font>
    <font>
      <u val="single"/>
      <sz val="11"/>
      <color indexed="8"/>
      <name val="Calibri"/>
      <family val="2"/>
    </font>
    <font>
      <b/>
      <u val="single"/>
      <sz val="11"/>
      <color indexed="8"/>
      <name val="Calibri"/>
      <family val="2"/>
    </font>
    <font>
      <u val="single"/>
      <sz val="14"/>
      <color indexed="8"/>
      <name val="Calibri"/>
      <family val="2"/>
    </font>
    <font>
      <sz val="10"/>
      <name val="LitNusx"/>
      <family val="2"/>
    </font>
    <font>
      <b/>
      <u val="single"/>
      <sz val="14"/>
      <color indexed="8"/>
      <name val="Calibri"/>
      <family val="2"/>
    </font>
    <font>
      <sz val="10"/>
      <name val="Arial"/>
      <family val="2"/>
    </font>
    <font>
      <sz val="10"/>
      <name val="Sylfaen"/>
      <family val="1"/>
    </font>
    <font>
      <b/>
      <i/>
      <sz val="12"/>
      <color indexed="8"/>
      <name val="Calibri"/>
      <family val="2"/>
    </font>
    <font>
      <sz val="8"/>
      <color indexed="8"/>
      <name val="Calibri"/>
      <family val="2"/>
    </font>
    <font>
      <b/>
      <sz val="8"/>
      <color indexed="8"/>
      <name val="Calibri"/>
      <family val="2"/>
    </font>
    <font>
      <b/>
      <i/>
      <sz val="12"/>
      <name val="Calibri"/>
      <family val="2"/>
    </font>
    <font>
      <b/>
      <sz val="14"/>
      <name val="Sylfaen"/>
      <family val="1"/>
    </font>
    <font>
      <u val="single"/>
      <sz val="11"/>
      <name val="Sylfaen"/>
      <family val="1"/>
    </font>
    <font>
      <b/>
      <i/>
      <sz val="10"/>
      <name val="Sylfaen"/>
      <family val="1"/>
    </font>
    <font>
      <i/>
      <sz val="10"/>
      <name val="Sylfaen"/>
      <family val="1"/>
    </font>
    <font>
      <sz val="9"/>
      <name val="Arial"/>
      <family val="2"/>
    </font>
    <font>
      <b/>
      <sz val="12"/>
      <color indexed="8"/>
      <name val="Calibri"/>
      <family val="2"/>
    </font>
    <font>
      <sz val="9"/>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არიალ"/>
      <family val="0"/>
    </font>
    <font>
      <b/>
      <sz val="11"/>
      <color indexed="8"/>
      <name val="არიალ"/>
      <family val="0"/>
    </font>
    <font>
      <b/>
      <sz val="10"/>
      <color indexed="8"/>
      <name val="Arial"/>
      <family val="2"/>
    </font>
    <font>
      <sz val="10"/>
      <name val="Calibri"/>
      <family val="2"/>
    </font>
    <font>
      <b/>
      <sz val="10"/>
      <name val="Calibri"/>
      <family val="2"/>
    </font>
    <font>
      <sz val="9"/>
      <color indexed="8"/>
      <name val="Arial"/>
      <family val="2"/>
    </font>
    <font>
      <sz val="8"/>
      <color indexed="8"/>
      <name val="Arial"/>
      <family val="2"/>
    </font>
    <font>
      <sz val="8"/>
      <color indexed="8"/>
      <name val="Sylfaen"/>
      <family val="1"/>
    </font>
    <font>
      <b/>
      <sz val="8"/>
      <color indexed="8"/>
      <name val="Sylfaen"/>
      <family val="1"/>
    </font>
    <font>
      <b/>
      <i/>
      <sz val="11"/>
      <color indexed="8"/>
      <name val="Calibri"/>
      <family val="2"/>
    </font>
    <font>
      <i/>
      <u val="single"/>
      <sz val="11"/>
      <color indexed="8"/>
      <name val="Calibri"/>
      <family val="2"/>
    </font>
    <font>
      <b/>
      <sz val="8"/>
      <name val="Calibri"/>
      <family val="2"/>
    </font>
    <font>
      <sz val="8"/>
      <name val="Calibri"/>
      <family val="2"/>
    </font>
    <font>
      <b/>
      <i/>
      <sz val="14"/>
      <name val="Calibri"/>
      <family val="2"/>
    </font>
    <font>
      <b/>
      <sz val="9"/>
      <name val="Calibri"/>
      <family val="2"/>
    </font>
    <font>
      <sz val="9"/>
      <name val="Sylfaen"/>
      <family val="1"/>
    </font>
    <font>
      <sz val="9"/>
      <name val="Calibri"/>
      <family val="2"/>
    </font>
    <font>
      <sz val="9"/>
      <name val="AcadNusx"/>
      <family val="0"/>
    </font>
    <font>
      <sz val="9"/>
      <name val="_Times New Roman (Georgian)"/>
      <family val="2"/>
    </font>
    <font>
      <sz val="9"/>
      <name val="Elephant"/>
      <family val="1"/>
    </font>
    <font>
      <sz val="9"/>
      <name val="Tahoma"/>
      <family val="2"/>
    </font>
    <font>
      <b/>
      <sz val="9"/>
      <name val="Sylfaen"/>
      <family val="1"/>
    </font>
    <font>
      <sz val="9"/>
      <name val="DejaVu San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1"/>
      <name val="არიალ"/>
      <family val="0"/>
    </font>
    <font>
      <b/>
      <sz val="11"/>
      <color theme="1"/>
      <name val="არიალ"/>
      <family val="0"/>
    </font>
    <font>
      <b/>
      <sz val="10"/>
      <color theme="1"/>
      <name val="Arial"/>
      <family val="2"/>
    </font>
    <font>
      <b/>
      <i/>
      <sz val="12"/>
      <color theme="1"/>
      <name val="Calibri"/>
      <family val="2"/>
    </font>
    <font>
      <b/>
      <sz val="8"/>
      <color theme="1"/>
      <name val="Calibri"/>
      <family val="2"/>
    </font>
    <font>
      <sz val="9"/>
      <color theme="1"/>
      <name val="Arial"/>
      <family val="2"/>
    </font>
    <font>
      <sz val="9"/>
      <color theme="1"/>
      <name val="Calibri"/>
      <family val="2"/>
    </font>
    <font>
      <sz val="8"/>
      <color theme="1"/>
      <name val="Arial"/>
      <family val="2"/>
    </font>
    <font>
      <sz val="8"/>
      <color rgb="FF000000"/>
      <name val="Sylfaen"/>
      <family val="1"/>
    </font>
    <font>
      <b/>
      <sz val="14"/>
      <color theme="1"/>
      <name val="Calibri"/>
      <family val="2"/>
    </font>
    <font>
      <b/>
      <sz val="9"/>
      <color theme="1"/>
      <name val="Calibri"/>
      <family val="2"/>
    </font>
    <font>
      <b/>
      <sz val="8"/>
      <color rgb="FF000000"/>
      <name val="Sylfaen"/>
      <family val="1"/>
    </font>
    <font>
      <b/>
      <i/>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59999001026153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color indexed="63"/>
      </left>
      <right style="thin"/>
      <top style="medium"/>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thin"/>
      <bottom style="thin"/>
    </border>
    <border>
      <left style="medium"/>
      <right style="thin"/>
      <top style="thin"/>
      <bottom>
        <color indexed="63"/>
      </bottom>
    </border>
    <border>
      <left style="thin"/>
      <right style="medium"/>
      <top>
        <color indexed="63"/>
      </top>
      <bottom style="thin"/>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189"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19" fillId="0" borderId="0">
      <alignment/>
      <protection/>
    </xf>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18">
    <xf numFmtId="0" fontId="0" fillId="0" borderId="0" xfId="0" applyFont="1" applyAlignment="1">
      <alignment/>
    </xf>
    <xf numFmtId="172" fontId="3" fillId="0" borderId="10" xfId="42" applyNumberFormat="1" applyFont="1" applyFill="1" applyBorder="1" applyAlignment="1">
      <alignment horizontal="center" wrapText="1"/>
    </xf>
    <xf numFmtId="172" fontId="3" fillId="0" borderId="11" xfId="42" applyNumberFormat="1" applyFont="1" applyFill="1" applyBorder="1" applyAlignment="1">
      <alignment horizontal="center" wrapText="1"/>
    </xf>
    <xf numFmtId="172" fontId="5" fillId="0" borderId="10" xfId="42" applyNumberFormat="1" applyFont="1" applyFill="1" applyBorder="1" applyAlignment="1">
      <alignment horizontal="center" wrapText="1"/>
    </xf>
    <xf numFmtId="172" fontId="5" fillId="0" borderId="11" xfId="42" applyNumberFormat="1" applyFont="1" applyFill="1" applyBorder="1" applyAlignment="1">
      <alignment horizontal="center" wrapText="1"/>
    </xf>
    <xf numFmtId="172" fontId="5" fillId="0" borderId="12" xfId="42" applyNumberFormat="1" applyFont="1" applyFill="1" applyBorder="1" applyAlignment="1">
      <alignment horizontal="center" wrapText="1"/>
    </xf>
    <xf numFmtId="172" fontId="5" fillId="0" borderId="13" xfId="42" applyNumberFormat="1" applyFont="1" applyFill="1" applyBorder="1" applyAlignment="1">
      <alignment horizontal="center" wrapText="1"/>
    </xf>
    <xf numFmtId="0" fontId="91" fillId="0" borderId="0" xfId="0" applyFont="1" applyFill="1" applyAlignment="1" applyProtection="1">
      <alignment/>
      <protection/>
    </xf>
    <xf numFmtId="0" fontId="91" fillId="33" borderId="0" xfId="0" applyFont="1" applyFill="1" applyAlignment="1" applyProtection="1">
      <alignment/>
      <protection/>
    </xf>
    <xf numFmtId="4" fontId="91" fillId="0" borderId="10" xfId="0" applyNumberFormat="1" applyFont="1" applyBorder="1" applyAlignment="1">
      <alignment horizontal="center" vertical="center" wrapText="1"/>
    </xf>
    <xf numFmtId="4" fontId="91" fillId="0" borderId="11" xfId="0" applyNumberFormat="1" applyFont="1" applyBorder="1" applyAlignment="1">
      <alignment horizontal="center" vertical="center" wrapText="1"/>
    </xf>
    <xf numFmtId="4" fontId="92" fillId="33" borderId="12" xfId="0" applyNumberFormat="1" applyFont="1" applyFill="1" applyBorder="1" applyAlignment="1">
      <alignment horizontal="center" vertical="center" wrapText="1"/>
    </xf>
    <xf numFmtId="4" fontId="92" fillId="33" borderId="13" xfId="0" applyNumberFormat="1" applyFont="1" applyFill="1" applyBorder="1" applyAlignment="1">
      <alignment horizontal="center" vertical="center" wrapText="1"/>
    </xf>
    <xf numFmtId="0" fontId="91" fillId="0" borderId="14" xfId="0" applyFont="1" applyBorder="1" applyAlignment="1">
      <alignment horizontal="center" vertical="center" wrapText="1"/>
    </xf>
    <xf numFmtId="0" fontId="91" fillId="0" borderId="10" xfId="0" applyFont="1" applyBorder="1" applyAlignment="1">
      <alignment horizontal="center" vertical="center" wrapText="1"/>
    </xf>
    <xf numFmtId="0" fontId="92" fillId="33" borderId="15" xfId="0" applyFont="1" applyFill="1" applyBorder="1" applyAlignment="1">
      <alignment horizontal="center" vertical="center" wrapText="1"/>
    </xf>
    <xf numFmtId="0" fontId="92" fillId="33" borderId="16" xfId="0" applyFont="1" applyFill="1" applyBorder="1" applyAlignment="1">
      <alignment horizontal="center" vertical="center" wrapText="1"/>
    </xf>
    <xf numFmtId="0" fontId="0" fillId="0" borderId="0" xfId="0" applyAlignment="1">
      <alignment wrapText="1"/>
    </xf>
    <xf numFmtId="0" fontId="89" fillId="33" borderId="15" xfId="0" applyFont="1" applyFill="1" applyBorder="1" applyAlignment="1">
      <alignment horizontal="center" vertical="center" wrapText="1"/>
    </xf>
    <xf numFmtId="0" fontId="89" fillId="33" borderId="17" xfId="0" applyFont="1" applyFill="1" applyBorder="1" applyAlignment="1">
      <alignment horizontal="center" vertical="center" wrapText="1"/>
    </xf>
    <xf numFmtId="0" fontId="89" fillId="33" borderId="16" xfId="0" applyFont="1" applyFill="1" applyBorder="1" applyAlignment="1">
      <alignment horizontal="center" vertical="center" wrapText="1"/>
    </xf>
    <xf numFmtId="0" fontId="89" fillId="33" borderId="0" xfId="0" applyFont="1" applyFill="1" applyAlignment="1">
      <alignment horizontal="center" vertical="center" wrapText="1"/>
    </xf>
    <xf numFmtId="0" fontId="0" fillId="0" borderId="14" xfId="0" applyBorder="1" applyAlignment="1">
      <alignment horizontal="center" wrapText="1"/>
    </xf>
    <xf numFmtId="0" fontId="0" fillId="0" borderId="10" xfId="0" applyBorder="1" applyAlignment="1">
      <alignment horizontal="center" wrapText="1"/>
    </xf>
    <xf numFmtId="179" fontId="93" fillId="0" borderId="10" xfId="42" applyNumberFormat="1" applyFont="1" applyBorder="1" applyAlignment="1">
      <alignment horizontal="center" wrapText="1"/>
    </xf>
    <xf numFmtId="179" fontId="93" fillId="0" borderId="11" xfId="42" applyNumberFormat="1" applyFont="1" applyBorder="1" applyAlignment="1">
      <alignment horizontal="center" wrapText="1"/>
    </xf>
    <xf numFmtId="0" fontId="89" fillId="33" borderId="18" xfId="0" applyFont="1" applyFill="1" applyBorder="1" applyAlignment="1">
      <alignment horizontal="center" wrapText="1"/>
    </xf>
    <xf numFmtId="179" fontId="94" fillId="33" borderId="12" xfId="42" applyNumberFormat="1" applyFont="1" applyFill="1" applyBorder="1" applyAlignment="1">
      <alignment horizontal="center" wrapText="1"/>
    </xf>
    <xf numFmtId="0" fontId="89" fillId="33" borderId="0" xfId="0" applyFont="1" applyFill="1" applyAlignment="1">
      <alignment wrapText="1"/>
    </xf>
    <xf numFmtId="0" fontId="91" fillId="0" borderId="0" xfId="0" applyFont="1" applyFill="1" applyAlignment="1">
      <alignment/>
    </xf>
    <xf numFmtId="0" fontId="91" fillId="33" borderId="0" xfId="0" applyFont="1" applyFill="1" applyAlignment="1">
      <alignment/>
    </xf>
    <xf numFmtId="0" fontId="91" fillId="0" borderId="14" xfId="0" applyFont="1" applyFill="1" applyBorder="1" applyAlignment="1">
      <alignment horizontal="center"/>
    </xf>
    <xf numFmtId="0" fontId="91" fillId="0" borderId="10" xfId="0" applyFont="1" applyFill="1" applyBorder="1" applyAlignment="1">
      <alignment vertical="center" wrapText="1"/>
    </xf>
    <xf numFmtId="0" fontId="91" fillId="0" borderId="10" xfId="0" applyFont="1" applyFill="1" applyBorder="1" applyAlignment="1">
      <alignment horizontal="center" vertical="center" wrapText="1"/>
    </xf>
    <xf numFmtId="179" fontId="91" fillId="0" borderId="10" xfId="42" applyNumberFormat="1" applyFont="1" applyFill="1" applyBorder="1" applyAlignment="1">
      <alignment horizontal="center" vertical="center" wrapText="1"/>
    </xf>
    <xf numFmtId="179" fontId="95" fillId="0" borderId="11" xfId="42" applyNumberFormat="1" applyFont="1" applyFill="1" applyBorder="1" applyAlignment="1">
      <alignment horizontal="center" vertical="center" wrapText="1"/>
    </xf>
    <xf numFmtId="0" fontId="91" fillId="0" borderId="14" xfId="0" applyFont="1" applyFill="1" applyBorder="1" applyAlignment="1">
      <alignment/>
    </xf>
    <xf numFmtId="0" fontId="91" fillId="0" borderId="10" xfId="0" applyFont="1" applyFill="1" applyBorder="1" applyAlignment="1">
      <alignment/>
    </xf>
    <xf numFmtId="0" fontId="91" fillId="0" borderId="10" xfId="0" applyFont="1" applyFill="1" applyBorder="1" applyAlignment="1">
      <alignment horizontal="center" vertical="center"/>
    </xf>
    <xf numFmtId="179" fontId="91" fillId="0" borderId="10" xfId="42" applyNumberFormat="1" applyFont="1" applyFill="1" applyBorder="1" applyAlignment="1">
      <alignment horizontal="center" vertical="center"/>
    </xf>
    <xf numFmtId="0" fontId="91" fillId="0" borderId="11" xfId="0" applyFont="1" applyFill="1" applyBorder="1" applyAlignment="1">
      <alignment horizontal="center" vertical="center"/>
    </xf>
    <xf numFmtId="0" fontId="92" fillId="33" borderId="18" xfId="0" applyFont="1" applyFill="1" applyBorder="1" applyAlignment="1">
      <alignment/>
    </xf>
    <xf numFmtId="179" fontId="92" fillId="33" borderId="12" xfId="42" applyNumberFormat="1" applyFont="1" applyFill="1" applyBorder="1" applyAlignment="1">
      <alignment horizontal="center" vertical="center"/>
    </xf>
    <xf numFmtId="179" fontId="92" fillId="33" borderId="13" xfId="42" applyNumberFormat="1" applyFont="1" applyFill="1" applyBorder="1" applyAlignment="1">
      <alignment horizontal="center" vertical="center"/>
    </xf>
    <xf numFmtId="0" fontId="92" fillId="33" borderId="0" xfId="0" applyFont="1" applyFill="1" applyAlignment="1">
      <alignment/>
    </xf>
    <xf numFmtId="0" fontId="91" fillId="0" borderId="0" xfId="0" applyFont="1" applyFill="1" applyAlignment="1">
      <alignment horizontal="center" vertical="center"/>
    </xf>
    <xf numFmtId="179" fontId="91" fillId="0" borderId="0" xfId="42" applyNumberFormat="1" applyFont="1" applyFill="1" applyAlignment="1">
      <alignment horizontal="center" vertical="center"/>
    </xf>
    <xf numFmtId="0" fontId="91" fillId="0" borderId="0" xfId="0" applyFont="1" applyAlignment="1">
      <alignment wrapText="1"/>
    </xf>
    <xf numFmtId="0" fontId="10" fillId="0" borderId="0" xfId="0" applyFont="1" applyFill="1" applyBorder="1" applyAlignment="1" applyProtection="1">
      <alignment vertical="center" wrapText="1"/>
      <protection/>
    </xf>
    <xf numFmtId="0" fontId="91" fillId="0" borderId="14" xfId="0" applyFont="1" applyBorder="1" applyAlignment="1">
      <alignment wrapText="1"/>
    </xf>
    <xf numFmtId="0" fontId="91" fillId="0" borderId="18" xfId="0" applyFont="1" applyBorder="1" applyAlignment="1">
      <alignment wrapText="1"/>
    </xf>
    <xf numFmtId="0" fontId="91" fillId="0" borderId="13" xfId="0" applyFont="1" applyBorder="1" applyAlignment="1">
      <alignment wrapText="1"/>
    </xf>
    <xf numFmtId="0" fontId="92" fillId="33" borderId="0" xfId="0" applyFont="1" applyFill="1" applyAlignment="1">
      <alignment wrapText="1"/>
    </xf>
    <xf numFmtId="0" fontId="91" fillId="33" borderId="0" xfId="0" applyFont="1" applyFill="1" applyAlignment="1">
      <alignment wrapText="1"/>
    </xf>
    <xf numFmtId="0" fontId="91" fillId="0" borderId="14" xfId="0" applyFont="1" applyBorder="1" applyAlignment="1">
      <alignment horizontal="left" vertical="center" wrapText="1"/>
    </xf>
    <xf numFmtId="0" fontId="11" fillId="0" borderId="0" xfId="0" applyFont="1" applyFill="1" applyBorder="1" applyAlignment="1" applyProtection="1">
      <alignment vertical="center" wrapText="1"/>
      <protection/>
    </xf>
    <xf numFmtId="0" fontId="91" fillId="0" borderId="0" xfId="0" applyFont="1" applyAlignment="1">
      <alignment/>
    </xf>
    <xf numFmtId="0" fontId="91" fillId="34" borderId="0" xfId="0" applyFont="1" applyFill="1" applyAlignment="1">
      <alignment/>
    </xf>
    <xf numFmtId="0" fontId="91" fillId="0" borderId="0" xfId="0" applyFont="1" applyFill="1" applyAlignment="1">
      <alignment/>
    </xf>
    <xf numFmtId="0" fontId="92" fillId="33" borderId="0" xfId="0" applyFont="1" applyFill="1" applyAlignment="1">
      <alignment horizontal="center" vertical="center"/>
    </xf>
    <xf numFmtId="0" fontId="53" fillId="33" borderId="10" xfId="0" applyFont="1" applyFill="1" applyBorder="1" applyAlignment="1">
      <alignment horizontal="left" vertical="center" wrapText="1"/>
    </xf>
    <xf numFmtId="0" fontId="54" fillId="33" borderId="10" xfId="0" applyFont="1" applyFill="1" applyBorder="1" applyAlignment="1">
      <alignment horizontal="center" vertical="center" wrapText="1"/>
    </xf>
    <xf numFmtId="0" fontId="91" fillId="33" borderId="0" xfId="0" applyFont="1" applyFill="1" applyAlignment="1">
      <alignment horizontal="center" vertical="center"/>
    </xf>
    <xf numFmtId="0" fontId="91" fillId="33" borderId="0" xfId="0" applyFont="1" applyFill="1" applyAlignment="1">
      <alignment horizontal="center"/>
    </xf>
    <xf numFmtId="0" fontId="8" fillId="33" borderId="17" xfId="0" applyFont="1" applyFill="1" applyBorder="1" applyAlignment="1">
      <alignment horizontal="center" vertical="center" wrapText="1"/>
    </xf>
    <xf numFmtId="172" fontId="8" fillId="33" borderId="15" xfId="42" applyNumberFormat="1" applyFont="1" applyFill="1" applyBorder="1" applyAlignment="1">
      <alignment horizontal="center" vertical="center" wrapText="1"/>
    </xf>
    <xf numFmtId="0" fontId="8" fillId="0" borderId="14" xfId="59" applyFont="1" applyFill="1" applyBorder="1" applyAlignment="1" applyProtection="1">
      <alignment horizontal="left" vertical="center" wrapText="1" indent="1"/>
      <protection/>
    </xf>
    <xf numFmtId="0" fontId="8" fillId="0" borderId="14" xfId="59" applyFont="1" applyFill="1" applyBorder="1" applyAlignment="1" applyProtection="1">
      <alignment horizontal="left" vertical="center" wrapText="1" indent="3"/>
      <protection/>
    </xf>
    <xf numFmtId="0" fontId="20" fillId="0" borderId="14" xfId="59" applyFont="1" applyFill="1" applyBorder="1" applyAlignment="1" applyProtection="1">
      <alignment horizontal="left" vertical="center" wrapText="1" indent="4"/>
      <protection/>
    </xf>
    <xf numFmtId="172" fontId="8" fillId="0" borderId="10" xfId="42" applyNumberFormat="1" applyFont="1" applyFill="1" applyBorder="1" applyAlignment="1">
      <alignment horizontal="center" vertical="center" wrapText="1"/>
    </xf>
    <xf numFmtId="172" fontId="8" fillId="0" borderId="11" xfId="42" applyNumberFormat="1" applyFont="1" applyFill="1" applyBorder="1" applyAlignment="1">
      <alignment horizontal="center" vertical="center" wrapText="1"/>
    </xf>
    <xf numFmtId="0" fontId="8" fillId="35" borderId="18" xfId="59" applyFont="1" applyFill="1" applyBorder="1" applyAlignment="1" applyProtection="1">
      <alignment horizontal="left" vertical="center" wrapText="1"/>
      <protection/>
    </xf>
    <xf numFmtId="0" fontId="3" fillId="0" borderId="14"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pplyProtection="1">
      <alignment horizontal="left" vertical="center" wrapText="1" indent="1"/>
      <protection/>
    </xf>
    <xf numFmtId="0" fontId="6" fillId="0" borderId="10" xfId="0" applyFont="1" applyFill="1" applyBorder="1" applyAlignment="1" applyProtection="1">
      <alignment horizontal="left" vertical="center" wrapText="1" indent="2"/>
      <protection/>
    </xf>
    <xf numFmtId="0" fontId="7" fillId="0" borderId="10" xfId="0" applyFont="1" applyFill="1" applyBorder="1" applyAlignment="1" applyProtection="1">
      <alignment horizontal="left" vertical="center" wrapText="1" indent="2"/>
      <protection/>
    </xf>
    <xf numFmtId="172" fontId="8" fillId="33" borderId="17" xfId="42" applyNumberFormat="1" applyFont="1" applyFill="1" applyBorder="1" applyAlignment="1">
      <alignment horizontal="center" vertical="center" wrapText="1"/>
    </xf>
    <xf numFmtId="0" fontId="4" fillId="0" borderId="12" xfId="0" applyFont="1" applyFill="1" applyBorder="1" applyAlignment="1" applyProtection="1">
      <alignment horizontal="left" vertical="center" wrapText="1" indent="1"/>
      <protection/>
    </xf>
    <xf numFmtId="172" fontId="8" fillId="33" borderId="16" xfId="42" applyNumberFormat="1" applyFont="1" applyFill="1" applyBorder="1" applyAlignment="1">
      <alignment horizontal="center" vertical="center" wrapText="1"/>
    </xf>
    <xf numFmtId="0" fontId="96" fillId="0" borderId="0" xfId="0" applyFont="1" applyFill="1" applyAlignment="1" applyProtection="1">
      <alignment/>
      <protection/>
    </xf>
    <xf numFmtId="0" fontId="96" fillId="0" borderId="0" xfId="0" applyFont="1" applyAlignment="1">
      <alignment wrapText="1"/>
    </xf>
    <xf numFmtId="0" fontId="92" fillId="33" borderId="19"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97" fillId="33" borderId="11" xfId="0" applyFont="1" applyFill="1" applyBorder="1" applyAlignment="1">
      <alignment horizontal="center" vertical="center" wrapText="1"/>
    </xf>
    <xf numFmtId="0" fontId="92" fillId="33" borderId="20" xfId="0" applyFont="1" applyFill="1" applyBorder="1" applyAlignment="1">
      <alignment horizontal="left" vertical="center" wrapText="1" indent="2"/>
    </xf>
    <xf numFmtId="0" fontId="97" fillId="33" borderId="14" xfId="0" applyFont="1" applyFill="1" applyBorder="1" applyAlignment="1">
      <alignment horizontal="center" vertical="center" wrapText="1"/>
    </xf>
    <xf numFmtId="0" fontId="91" fillId="33" borderId="21" xfId="0" applyFont="1" applyFill="1" applyBorder="1" applyAlignment="1">
      <alignment horizontal="left" vertical="center" wrapText="1"/>
    </xf>
    <xf numFmtId="0" fontId="92" fillId="33" borderId="22" xfId="0" applyFont="1" applyFill="1" applyBorder="1" applyAlignment="1">
      <alignment horizontal="center" vertical="center"/>
    </xf>
    <xf numFmtId="43" fontId="91" fillId="0" borderId="0" xfId="0" applyNumberFormat="1" applyFont="1" applyAlignment="1">
      <alignment wrapText="1"/>
    </xf>
    <xf numFmtId="0" fontId="91" fillId="0" borderId="23" xfId="0" applyFont="1" applyFill="1" applyBorder="1" applyAlignment="1">
      <alignment horizontal="left" vertical="center" wrapText="1"/>
    </xf>
    <xf numFmtId="0" fontId="53" fillId="0" borderId="0" xfId="0" applyFont="1" applyFill="1" applyAlignment="1" applyProtection="1">
      <alignment/>
      <protection/>
    </xf>
    <xf numFmtId="0" fontId="20" fillId="0" borderId="0" xfId="0" applyFont="1" applyFill="1" applyBorder="1" applyAlignment="1">
      <alignment/>
    </xf>
    <xf numFmtId="0" fontId="8" fillId="33" borderId="14" xfId="59" applyFont="1" applyFill="1" applyBorder="1" applyAlignment="1" applyProtection="1">
      <alignment horizontal="left" vertical="center" wrapText="1"/>
      <protection/>
    </xf>
    <xf numFmtId="0" fontId="8" fillId="33" borderId="10" xfId="0" applyFont="1" applyFill="1" applyBorder="1" applyAlignment="1">
      <alignment/>
    </xf>
    <xf numFmtId="0" fontId="8" fillId="33" borderId="11" xfId="0" applyFont="1" applyFill="1" applyBorder="1" applyAlignment="1">
      <alignment/>
    </xf>
    <xf numFmtId="0" fontId="8" fillId="33" borderId="0" xfId="0" applyFont="1" applyFill="1" applyBorder="1" applyAlignment="1">
      <alignment/>
    </xf>
    <xf numFmtId="0" fontId="8" fillId="0" borderId="10" xfId="0" applyFont="1" applyFill="1" applyBorder="1" applyAlignment="1">
      <alignment/>
    </xf>
    <xf numFmtId="0" fontId="8" fillId="0" borderId="11" xfId="0" applyFont="1" applyFill="1" applyBorder="1" applyAlignment="1">
      <alignment/>
    </xf>
    <xf numFmtId="0" fontId="8" fillId="0" borderId="0" xfId="0" applyFont="1" applyFill="1" applyBorder="1" applyAlignment="1">
      <alignment/>
    </xf>
    <xf numFmtId="0" fontId="20" fillId="0" borderId="14" xfId="59" applyFont="1" applyFill="1" applyBorder="1" applyAlignment="1" applyProtection="1">
      <alignment horizontal="left" vertical="center" indent="3"/>
      <protection/>
    </xf>
    <xf numFmtId="0" fontId="20" fillId="0" borderId="10" xfId="0" applyFont="1" applyFill="1" applyBorder="1" applyAlignment="1">
      <alignment/>
    </xf>
    <xf numFmtId="0" fontId="20" fillId="0" borderId="11" xfId="0" applyFont="1" applyFill="1" applyBorder="1" applyAlignment="1">
      <alignment/>
    </xf>
    <xf numFmtId="0" fontId="20" fillId="0" borderId="14" xfId="59" applyFont="1" applyFill="1" applyBorder="1" applyAlignment="1" applyProtection="1">
      <alignment horizontal="left" vertical="center" wrapText="1" indent="3"/>
      <protection/>
    </xf>
    <xf numFmtId="0" fontId="27" fillId="0" borderId="14" xfId="59" applyFont="1" applyFill="1" applyBorder="1" applyAlignment="1" applyProtection="1">
      <alignment horizontal="left" vertical="center" wrapText="1" indent="3"/>
      <protection/>
    </xf>
    <xf numFmtId="0" fontId="28" fillId="0" borderId="14" xfId="59" applyFont="1" applyFill="1" applyBorder="1" applyAlignment="1" applyProtection="1">
      <alignment horizontal="left" vertical="center" wrapText="1" indent="5"/>
      <protection/>
    </xf>
    <xf numFmtId="43" fontId="20" fillId="0" borderId="10" xfId="42" applyNumberFormat="1" applyFont="1" applyFill="1" applyBorder="1" applyAlignment="1">
      <alignment horizontal="center" vertical="center"/>
    </xf>
    <xf numFmtId="179" fontId="20" fillId="0" borderId="10" xfId="0" applyNumberFormat="1" applyFont="1" applyFill="1" applyBorder="1" applyAlignment="1">
      <alignment/>
    </xf>
    <xf numFmtId="0" fontId="8" fillId="33" borderId="12" xfId="0" applyFont="1" applyFill="1" applyBorder="1" applyAlignment="1">
      <alignment/>
    </xf>
    <xf numFmtId="0" fontId="8" fillId="33" borderId="13" xfId="0" applyFont="1" applyFill="1" applyBorder="1" applyAlignment="1">
      <alignment/>
    </xf>
    <xf numFmtId="0" fontId="91" fillId="0" borderId="0" xfId="0" applyFont="1" applyAlignment="1">
      <alignment horizontal="left" wrapText="1"/>
    </xf>
    <xf numFmtId="43" fontId="8" fillId="33" borderId="10" xfId="42" applyFont="1" applyFill="1" applyBorder="1" applyAlignment="1">
      <alignment/>
    </xf>
    <xf numFmtId="43" fontId="8" fillId="0" borderId="10" xfId="42" applyFont="1" applyFill="1" applyBorder="1" applyAlignment="1">
      <alignment/>
    </xf>
    <xf numFmtId="43" fontId="8" fillId="0" borderId="10" xfId="42" applyFont="1" applyFill="1" applyBorder="1" applyAlignment="1">
      <alignment horizontal="center" vertical="center" wrapText="1"/>
    </xf>
    <xf numFmtId="43" fontId="20" fillId="0" borderId="10" xfId="42" applyFont="1" applyFill="1" applyBorder="1" applyAlignment="1">
      <alignment/>
    </xf>
    <xf numFmtId="43" fontId="20" fillId="0" borderId="10" xfId="42" applyFont="1" applyFill="1" applyBorder="1" applyAlignment="1">
      <alignment horizontal="center" vertical="center"/>
    </xf>
    <xf numFmtId="43" fontId="8" fillId="33" borderId="12" xfId="42" applyFont="1" applyFill="1" applyBorder="1" applyAlignment="1">
      <alignment/>
    </xf>
    <xf numFmtId="43" fontId="20" fillId="0" borderId="0" xfId="42" applyFont="1" applyFill="1" applyBorder="1" applyAlignment="1">
      <alignment/>
    </xf>
    <xf numFmtId="43" fontId="92" fillId="33" borderId="0" xfId="0" applyNumberFormat="1" applyFont="1" applyFill="1" applyAlignment="1">
      <alignment wrapText="1"/>
    </xf>
    <xf numFmtId="0" fontId="97" fillId="33" borderId="24" xfId="0" applyFont="1" applyFill="1" applyBorder="1" applyAlignment="1">
      <alignment horizontal="center" vertical="center" wrapText="1"/>
    </xf>
    <xf numFmtId="0" fontId="28" fillId="0" borderId="14" xfId="59" applyFont="1" applyFill="1" applyBorder="1" applyAlignment="1" applyProtection="1">
      <alignment horizontal="left" vertical="center" indent="5"/>
      <protection/>
    </xf>
    <xf numFmtId="0" fontId="20" fillId="0" borderId="14" xfId="59" applyFont="1" applyFill="1" applyBorder="1" applyAlignment="1" applyProtection="1">
      <alignment horizontal="left" vertical="center" indent="4"/>
      <protection/>
    </xf>
    <xf numFmtId="43" fontId="8" fillId="33" borderId="0" xfId="0" applyNumberFormat="1" applyFont="1" applyFill="1" applyBorder="1" applyAlignment="1">
      <alignment/>
    </xf>
    <xf numFmtId="43" fontId="8" fillId="0" borderId="10" xfId="42" applyFont="1" applyFill="1" applyBorder="1" applyAlignment="1">
      <alignment horizontal="center" vertical="center"/>
    </xf>
    <xf numFmtId="43" fontId="8" fillId="0" borderId="0" xfId="0" applyNumberFormat="1" applyFont="1" applyFill="1" applyBorder="1" applyAlignment="1">
      <alignment/>
    </xf>
    <xf numFmtId="0" fontId="98" fillId="0" borderId="10" xfId="0" applyFont="1" applyBorder="1" applyAlignment="1">
      <alignment horizontal="center" vertical="center" wrapText="1"/>
    </xf>
    <xf numFmtId="174" fontId="29" fillId="0" borderId="10" xfId="44" applyNumberFormat="1" applyFont="1" applyFill="1" applyBorder="1" applyAlignment="1">
      <alignment horizontal="center" vertical="center" wrapText="1"/>
    </xf>
    <xf numFmtId="0" fontId="99" fillId="0" borderId="25" xfId="0" applyFont="1" applyFill="1" applyBorder="1" applyAlignment="1">
      <alignment horizontal="left" vertical="center"/>
    </xf>
    <xf numFmtId="0" fontId="99" fillId="33" borderId="0" xfId="0" applyFont="1" applyFill="1" applyAlignment="1">
      <alignment wrapText="1"/>
    </xf>
    <xf numFmtId="0" fontId="91" fillId="33" borderId="0" xfId="0" applyFont="1" applyFill="1" applyAlignment="1">
      <alignment horizontal="center" vertical="center" wrapText="1"/>
    </xf>
    <xf numFmtId="0" fontId="92" fillId="33" borderId="15" xfId="0" applyFont="1" applyFill="1" applyBorder="1" applyAlignment="1">
      <alignment horizontal="center" vertical="center" wrapText="1"/>
    </xf>
    <xf numFmtId="0" fontId="92" fillId="33" borderId="17" xfId="0" applyFont="1" applyFill="1" applyBorder="1" applyAlignment="1">
      <alignment horizontal="center" vertical="center" wrapText="1"/>
    </xf>
    <xf numFmtId="0" fontId="92" fillId="33" borderId="16" xfId="0" applyFont="1" applyFill="1" applyBorder="1" applyAlignment="1">
      <alignment horizontal="center" vertical="center" wrapText="1"/>
    </xf>
    <xf numFmtId="0" fontId="99" fillId="0" borderId="10" xfId="0" applyFont="1" applyFill="1" applyBorder="1" applyAlignment="1">
      <alignment horizontal="left" vertical="center"/>
    </xf>
    <xf numFmtId="4" fontId="91" fillId="0" borderId="11" xfId="0" applyNumberFormat="1" applyFont="1" applyFill="1" applyBorder="1" applyAlignment="1">
      <alignment horizontal="center" vertical="center" wrapText="1"/>
    </xf>
    <xf numFmtId="179" fontId="8" fillId="0" borderId="10" xfId="42" applyNumberFormat="1" applyFont="1" applyFill="1" applyBorder="1" applyAlignment="1">
      <alignment horizontal="center" vertical="center" wrapText="1"/>
    </xf>
    <xf numFmtId="179" fontId="8" fillId="33" borderId="10" xfId="42" applyNumberFormat="1" applyFont="1" applyFill="1" applyBorder="1" applyAlignment="1">
      <alignment/>
    </xf>
    <xf numFmtId="179" fontId="8" fillId="0" borderId="10" xfId="42" applyNumberFormat="1" applyFont="1" applyFill="1" applyBorder="1" applyAlignment="1">
      <alignment/>
    </xf>
    <xf numFmtId="179" fontId="20" fillId="0" borderId="10" xfId="42" applyNumberFormat="1" applyFont="1" applyFill="1" applyBorder="1" applyAlignment="1">
      <alignment/>
    </xf>
    <xf numFmtId="179" fontId="8" fillId="33" borderId="12" xfId="42" applyNumberFormat="1" applyFont="1" applyFill="1" applyBorder="1" applyAlignment="1">
      <alignment/>
    </xf>
    <xf numFmtId="179" fontId="20" fillId="0" borderId="0" xfId="42" applyNumberFormat="1" applyFont="1" applyFill="1" applyBorder="1" applyAlignment="1">
      <alignment/>
    </xf>
    <xf numFmtId="0" fontId="100" fillId="0" borderId="10" xfId="0" applyFont="1" applyBorder="1" applyAlignment="1">
      <alignment vertical="center" wrapText="1"/>
    </xf>
    <xf numFmtId="0" fontId="100" fillId="0" borderId="10" xfId="0" applyFont="1" applyBorder="1" applyAlignment="1">
      <alignment wrapText="1"/>
    </xf>
    <xf numFmtId="43" fontId="91" fillId="0" borderId="10" xfId="42" applyFont="1" applyBorder="1" applyAlignment="1">
      <alignment vertical="center" wrapText="1"/>
    </xf>
    <xf numFmtId="43" fontId="91" fillId="0" borderId="11" xfId="42" applyFont="1" applyBorder="1" applyAlignment="1">
      <alignment vertical="center" wrapText="1"/>
    </xf>
    <xf numFmtId="0" fontId="92" fillId="33" borderId="12" xfId="0" applyFont="1" applyFill="1" applyBorder="1" applyAlignment="1">
      <alignment vertical="center" wrapText="1"/>
    </xf>
    <xf numFmtId="0" fontId="92" fillId="33" borderId="15" xfId="0" applyFont="1" applyFill="1" applyBorder="1" applyAlignment="1">
      <alignment horizontal="center" vertical="center" wrapText="1"/>
    </xf>
    <xf numFmtId="0" fontId="92" fillId="33" borderId="17" xfId="0" applyFont="1" applyFill="1" applyBorder="1" applyAlignment="1">
      <alignment horizontal="center" vertical="center" wrapText="1"/>
    </xf>
    <xf numFmtId="0" fontId="92" fillId="33" borderId="16" xfId="0" applyFont="1" applyFill="1" applyBorder="1" applyAlignment="1">
      <alignment horizontal="center" vertical="center" wrapText="1"/>
    </xf>
    <xf numFmtId="0" fontId="91" fillId="0" borderId="10" xfId="0" applyFont="1" applyBorder="1" applyAlignment="1">
      <alignment vertical="center" wrapText="1"/>
    </xf>
    <xf numFmtId="0" fontId="91" fillId="0" borderId="0" xfId="0" applyFont="1" applyAlignment="1">
      <alignment vertical="center" wrapText="1"/>
    </xf>
    <xf numFmtId="43" fontId="91" fillId="0" borderId="0" xfId="0" applyNumberFormat="1" applyFont="1" applyAlignment="1">
      <alignment vertical="center" wrapText="1"/>
    </xf>
    <xf numFmtId="0" fontId="92" fillId="33" borderId="18" xfId="0" applyFont="1" applyFill="1" applyBorder="1" applyAlignment="1">
      <alignment horizontal="left" vertical="center" wrapText="1"/>
    </xf>
    <xf numFmtId="43" fontId="92" fillId="33" borderId="0" xfId="0" applyNumberFormat="1" applyFont="1" applyFill="1" applyAlignment="1">
      <alignment vertical="center" wrapText="1"/>
    </xf>
    <xf numFmtId="0" fontId="92" fillId="33" borderId="0" xfId="0" applyFont="1" applyFill="1" applyAlignment="1">
      <alignment vertical="center" wrapText="1"/>
    </xf>
    <xf numFmtId="43" fontId="20" fillId="0" borderId="10" xfId="0" applyNumberFormat="1" applyFont="1" applyFill="1" applyBorder="1" applyAlignment="1">
      <alignment/>
    </xf>
    <xf numFmtId="0" fontId="101" fillId="0" borderId="14" xfId="0" applyNumberFormat="1" applyFont="1" applyFill="1" applyBorder="1" applyAlignment="1">
      <alignment vertical="center" wrapText="1"/>
    </xf>
    <xf numFmtId="0" fontId="101" fillId="0" borderId="10" xfId="0" applyNumberFormat="1" applyFont="1" applyFill="1" applyBorder="1" applyAlignment="1">
      <alignment vertical="center" wrapText="1"/>
    </xf>
    <xf numFmtId="0" fontId="101" fillId="0" borderId="10" xfId="0" applyNumberFormat="1" applyFont="1" applyFill="1" applyBorder="1" applyAlignment="1">
      <alignment vertical="center"/>
    </xf>
    <xf numFmtId="0" fontId="91" fillId="0" borderId="0" xfId="0" applyFont="1" applyFill="1" applyAlignment="1" applyProtection="1">
      <alignment vertical="center"/>
      <protection/>
    </xf>
    <xf numFmtId="0" fontId="17" fillId="34" borderId="10" xfId="0" applyFont="1" applyFill="1" applyBorder="1" applyAlignment="1">
      <alignment horizontal="center" vertical="center"/>
    </xf>
    <xf numFmtId="0" fontId="99" fillId="0" borderId="10" xfId="0" applyFont="1" applyFill="1" applyBorder="1" applyAlignment="1">
      <alignment horizontal="center" vertical="center" wrapText="1"/>
    </xf>
    <xf numFmtId="0" fontId="92" fillId="33" borderId="18" xfId="0" applyFont="1" applyFill="1" applyBorder="1" applyAlignment="1">
      <alignment horizontal="center" vertical="center" wrapText="1"/>
    </xf>
    <xf numFmtId="43" fontId="91" fillId="0" borderId="11" xfId="42" applyFont="1" applyBorder="1" applyAlignment="1">
      <alignment wrapText="1"/>
    </xf>
    <xf numFmtId="0" fontId="12" fillId="0" borderId="0" xfId="0" applyFont="1" applyFill="1" applyBorder="1" applyAlignment="1" applyProtection="1">
      <alignment horizontal="center" vertical="center" wrapText="1"/>
      <protection/>
    </xf>
    <xf numFmtId="0" fontId="97" fillId="0" borderId="0" xfId="0" applyFont="1" applyBorder="1" applyAlignment="1">
      <alignment horizontal="right" vertical="top" wrapText="1"/>
    </xf>
    <xf numFmtId="0" fontId="96" fillId="0" borderId="0" xfId="0" applyFont="1" applyAlignment="1">
      <alignment horizontal="right" wrapText="1"/>
    </xf>
    <xf numFmtId="0" fontId="92" fillId="0" borderId="26" xfId="0" applyFont="1" applyBorder="1" applyAlignment="1">
      <alignment horizontal="left" vertical="center" wrapText="1"/>
    </xf>
    <xf numFmtId="0" fontId="30" fillId="0" borderId="0" xfId="0" applyFont="1" applyBorder="1" applyAlignment="1">
      <alignment horizontal="center" vertical="center" wrapText="1"/>
    </xf>
    <xf numFmtId="0" fontId="102" fillId="0" borderId="0" xfId="0" applyFont="1" applyBorder="1" applyAlignment="1">
      <alignment horizontal="center" vertical="center" wrapText="1"/>
    </xf>
    <xf numFmtId="0" fontId="92" fillId="33" borderId="18" xfId="0" applyFont="1" applyFill="1" applyBorder="1" applyAlignment="1">
      <alignment horizontal="center" vertical="center" wrapText="1"/>
    </xf>
    <xf numFmtId="0" fontId="92" fillId="33" borderId="12" xfId="0" applyFont="1" applyFill="1" applyBorder="1" applyAlignment="1">
      <alignment horizontal="center" vertical="center" wrapText="1"/>
    </xf>
    <xf numFmtId="0" fontId="11" fillId="0" borderId="0" xfId="0" applyFont="1" applyBorder="1" applyAlignment="1">
      <alignment horizontal="justify" vertical="center" wrapText="1"/>
    </xf>
    <xf numFmtId="0" fontId="92" fillId="0" borderId="0" xfId="0" applyFont="1" applyBorder="1" applyAlignment="1">
      <alignment horizontal="justify" vertical="center" wrapText="1"/>
    </xf>
    <xf numFmtId="0" fontId="23" fillId="0" borderId="0" xfId="0" applyFont="1" applyBorder="1" applyAlignment="1">
      <alignment horizontal="right" vertical="center" wrapText="1"/>
    </xf>
    <xf numFmtId="0" fontId="96" fillId="0" borderId="0" xfId="0" applyFont="1" applyAlignment="1">
      <alignment horizontal="right" vertical="center" wrapText="1"/>
    </xf>
    <xf numFmtId="0" fontId="92" fillId="0" borderId="0" xfId="0" applyFont="1" applyFill="1" applyAlignment="1" applyProtection="1">
      <alignment horizontal="left" vertical="center"/>
      <protection/>
    </xf>
    <xf numFmtId="0" fontId="0" fillId="0" borderId="0" xfId="0" applyAlignment="1">
      <alignment horizontal="left"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97" fillId="0" borderId="32" xfId="0" applyFont="1" applyBorder="1" applyAlignment="1">
      <alignment horizontal="right"/>
    </xf>
    <xf numFmtId="0" fontId="102" fillId="0" borderId="0" xfId="0" applyFont="1" applyAlignment="1">
      <alignment horizontal="center" vertical="center" wrapText="1"/>
    </xf>
    <xf numFmtId="0" fontId="96" fillId="0" borderId="0" xfId="0" applyFont="1" applyFill="1" applyAlignment="1" applyProtection="1">
      <alignment horizontal="right"/>
      <protection/>
    </xf>
    <xf numFmtId="0" fontId="0" fillId="0" borderId="26" xfId="0" applyBorder="1" applyAlignment="1">
      <alignment horizontal="left" vertical="center" wrapText="1"/>
    </xf>
    <xf numFmtId="0" fontId="20" fillId="0" borderId="17" xfId="0" applyFont="1" applyFill="1" applyBorder="1" applyAlignment="1">
      <alignment horizontal="center"/>
    </xf>
    <xf numFmtId="0" fontId="20" fillId="0" borderId="10" xfId="0" applyFont="1" applyFill="1" applyBorder="1" applyAlignment="1">
      <alignment horizontal="center"/>
    </xf>
    <xf numFmtId="0" fontId="20" fillId="0" borderId="12" xfId="0" applyFont="1" applyFill="1" applyBorder="1" applyAlignment="1">
      <alignment horizontal="center"/>
    </xf>
    <xf numFmtId="43" fontId="20" fillId="0" borderId="17" xfId="42" applyFont="1" applyFill="1" applyBorder="1" applyAlignment="1">
      <alignment horizontal="center"/>
    </xf>
    <xf numFmtId="43" fontId="20" fillId="0" borderId="10" xfId="42" applyFont="1" applyFill="1" applyBorder="1" applyAlignment="1">
      <alignment horizontal="center"/>
    </xf>
    <xf numFmtId="43" fontId="20" fillId="0" borderId="12" xfId="42" applyFont="1" applyFill="1" applyBorder="1" applyAlignment="1">
      <alignment horizontal="center"/>
    </xf>
    <xf numFmtId="0" fontId="8" fillId="0" borderId="17" xfId="0" applyFont="1" applyFill="1" applyBorder="1" applyAlignment="1">
      <alignment horizontal="center" vertical="center" wrapText="1"/>
    </xf>
    <xf numFmtId="0" fontId="24" fillId="0" borderId="0" xfId="0" applyFont="1" applyFill="1" applyAlignment="1" applyProtection="1">
      <alignment horizontal="right" vertical="center"/>
      <protection/>
    </xf>
    <xf numFmtId="0" fontId="8" fillId="0" borderId="15" xfId="59" applyFont="1" applyFill="1" applyBorder="1" applyAlignment="1" applyProtection="1">
      <alignment horizontal="center" vertical="center" wrapText="1"/>
      <protection/>
    </xf>
    <xf numFmtId="0" fontId="8" fillId="0" borderId="14" xfId="59" applyFont="1" applyFill="1" applyBorder="1" applyAlignment="1" applyProtection="1">
      <alignment horizontal="center" vertical="center" wrapText="1"/>
      <protection/>
    </xf>
    <xf numFmtId="0" fontId="20" fillId="0" borderId="26" xfId="0" applyFont="1" applyFill="1" applyBorder="1" applyAlignment="1">
      <alignment horizontal="left" vertical="center"/>
    </xf>
    <xf numFmtId="0" fontId="20" fillId="0" borderId="0" xfId="0" applyFont="1" applyFill="1" applyBorder="1" applyAlignment="1">
      <alignment horizontal="left" vertical="center"/>
    </xf>
    <xf numFmtId="43" fontId="8" fillId="0" borderId="17" xfId="42" applyFont="1" applyFill="1" applyBorder="1" applyAlignment="1">
      <alignment horizontal="center" vertical="center" wrapText="1"/>
    </xf>
    <xf numFmtId="0" fontId="8" fillId="0" borderId="1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 fillId="0" borderId="0" xfId="0" applyFont="1" applyFill="1" applyBorder="1" applyAlignment="1">
      <alignment horizontal="right"/>
    </xf>
    <xf numFmtId="0" fontId="10" fillId="0" borderId="0" xfId="0" applyFont="1" applyBorder="1" applyAlignment="1">
      <alignment horizontal="left" vertical="center" wrapText="1"/>
    </xf>
    <xf numFmtId="0" fontId="91" fillId="0" borderId="0" xfId="0" applyFont="1" applyBorder="1" applyAlignment="1">
      <alignment horizontal="left" vertical="center" wrapText="1"/>
    </xf>
    <xf numFmtId="0" fontId="92" fillId="33" borderId="15" xfId="0" applyFont="1" applyFill="1" applyBorder="1" applyAlignment="1">
      <alignment horizontal="center" vertical="center" wrapText="1"/>
    </xf>
    <xf numFmtId="0" fontId="92" fillId="33" borderId="17" xfId="0" applyFont="1" applyFill="1" applyBorder="1" applyAlignment="1">
      <alignment horizontal="center" vertical="center" wrapText="1"/>
    </xf>
    <xf numFmtId="0" fontId="92" fillId="33" borderId="16" xfId="0" applyFont="1" applyFill="1" applyBorder="1" applyAlignment="1">
      <alignment horizontal="center" vertical="center" wrapText="1"/>
    </xf>
    <xf numFmtId="0" fontId="92" fillId="33" borderId="33" xfId="0" applyFont="1" applyFill="1" applyBorder="1" applyAlignment="1">
      <alignment horizontal="center" vertical="center" wrapText="1"/>
    </xf>
    <xf numFmtId="0" fontId="92" fillId="33" borderId="23" xfId="0" applyFont="1" applyFill="1" applyBorder="1" applyAlignment="1">
      <alignment horizontal="center" vertical="center" wrapText="1"/>
    </xf>
    <xf numFmtId="0" fontId="11" fillId="0" borderId="0" xfId="0" applyFont="1" applyBorder="1" applyAlignment="1">
      <alignment horizontal="left" wrapText="1"/>
    </xf>
    <xf numFmtId="0" fontId="91" fillId="0" borderId="0" xfId="0" applyFont="1" applyBorder="1" applyAlignment="1">
      <alignment horizontal="left" wrapText="1"/>
    </xf>
    <xf numFmtId="0" fontId="9" fillId="0" borderId="0" xfId="0" applyFont="1" applyFill="1" applyBorder="1" applyAlignment="1" applyProtection="1">
      <alignment horizontal="center" vertical="center" wrapText="1"/>
      <protection/>
    </xf>
    <xf numFmtId="0" fontId="23" fillId="0" borderId="0" xfId="0" applyFont="1" applyBorder="1" applyAlignment="1">
      <alignment horizontal="left" vertical="center" wrapText="1"/>
    </xf>
    <xf numFmtId="0" fontId="97" fillId="0" borderId="0" xfId="0" applyFont="1" applyBorder="1" applyAlignment="1">
      <alignment horizontal="left" vertical="center" wrapText="1"/>
    </xf>
    <xf numFmtId="0" fontId="97" fillId="0" borderId="26" xfId="0" applyFont="1" applyBorder="1" applyAlignment="1">
      <alignment horizontal="left" wrapText="1"/>
    </xf>
    <xf numFmtId="0" fontId="102" fillId="0" borderId="0" xfId="0" applyFont="1" applyFill="1" applyBorder="1" applyAlignment="1">
      <alignment horizontal="center" vertical="center" wrapText="1"/>
    </xf>
    <xf numFmtId="0" fontId="91" fillId="0" borderId="26" xfId="0" applyFont="1" applyBorder="1" applyAlignment="1">
      <alignment horizontal="left" vertical="center" wrapText="1"/>
    </xf>
    <xf numFmtId="0" fontId="102" fillId="0" borderId="0" xfId="0" applyFont="1" applyFill="1" applyAlignment="1">
      <alignment horizontal="center" vertical="center" wrapText="1"/>
    </xf>
    <xf numFmtId="0" fontId="97" fillId="0" borderId="34" xfId="0" applyFont="1" applyBorder="1" applyAlignment="1">
      <alignment horizontal="right" vertical="center"/>
    </xf>
    <xf numFmtId="0" fontId="91" fillId="0" borderId="35" xfId="0" applyFont="1" applyBorder="1" applyAlignment="1">
      <alignment horizontal="left" vertical="center" wrapText="1"/>
    </xf>
    <xf numFmtId="0" fontId="91" fillId="0" borderId="35" xfId="0" applyFont="1" applyBorder="1" applyAlignment="1">
      <alignment horizontal="left" vertical="center"/>
    </xf>
    <xf numFmtId="0" fontId="97" fillId="0" borderId="0" xfId="0" applyFont="1" applyBorder="1" applyAlignment="1">
      <alignment horizontal="right" vertical="center"/>
    </xf>
    <xf numFmtId="0" fontId="10" fillId="0" borderId="0" xfId="0" applyFont="1" applyBorder="1" applyAlignment="1">
      <alignment horizontal="left" vertical="center"/>
    </xf>
    <xf numFmtId="0" fontId="91" fillId="0" borderId="0" xfId="0" applyFont="1" applyBorder="1" applyAlignment="1">
      <alignment horizontal="left" vertical="center"/>
    </xf>
    <xf numFmtId="0" fontId="89" fillId="33" borderId="17"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89" fillId="33" borderId="16" xfId="0" applyFont="1" applyFill="1" applyBorder="1" applyAlignment="1">
      <alignment horizontal="center" vertical="center" wrapText="1"/>
    </xf>
    <xf numFmtId="0" fontId="89" fillId="33" borderId="27" xfId="0" applyFont="1" applyFill="1" applyBorder="1" applyAlignment="1">
      <alignment horizontal="center" vertical="center" wrapText="1"/>
    </xf>
    <xf numFmtId="0" fontId="89" fillId="33" borderId="36" xfId="0" applyFont="1" applyFill="1" applyBorder="1" applyAlignment="1">
      <alignment horizontal="center" vertical="center" wrapText="1"/>
    </xf>
    <xf numFmtId="0" fontId="96"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9" fillId="33" borderId="15" xfId="0" applyFont="1" applyFill="1" applyBorder="1" applyAlignment="1">
      <alignment horizontal="center" vertical="center" wrapText="1"/>
    </xf>
    <xf numFmtId="0" fontId="89" fillId="33" borderId="14" xfId="0" applyFont="1" applyFill="1" applyBorder="1" applyAlignment="1">
      <alignment horizontal="center" vertical="center" wrapText="1"/>
    </xf>
    <xf numFmtId="0" fontId="103" fillId="0" borderId="32" xfId="0" applyFont="1" applyBorder="1" applyAlignment="1">
      <alignment horizontal="right" wrapText="1"/>
    </xf>
    <xf numFmtId="0" fontId="89" fillId="33" borderId="37" xfId="0" applyFont="1" applyFill="1" applyBorder="1" applyAlignment="1">
      <alignment horizontal="center" wrapText="1"/>
    </xf>
    <xf numFmtId="0" fontId="89" fillId="33" borderId="38" xfId="0" applyFont="1" applyFill="1" applyBorder="1" applyAlignment="1">
      <alignment horizontal="center" wrapText="1"/>
    </xf>
    <xf numFmtId="0" fontId="89" fillId="33" borderId="39" xfId="0" applyFont="1" applyFill="1" applyBorder="1" applyAlignment="1">
      <alignment horizontal="center" wrapText="1"/>
    </xf>
    <xf numFmtId="179" fontId="92" fillId="33" borderId="17" xfId="42" applyNumberFormat="1" applyFont="1" applyFill="1" applyBorder="1" applyAlignment="1">
      <alignment horizontal="center" vertical="center" wrapText="1"/>
    </xf>
    <xf numFmtId="179" fontId="92" fillId="33" borderId="10" xfId="42" applyNumberFormat="1"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10" fillId="0" borderId="26" xfId="0" applyFont="1" applyFill="1" applyBorder="1" applyAlignment="1">
      <alignment horizontal="left" vertical="center"/>
    </xf>
    <xf numFmtId="0" fontId="91" fillId="0" borderId="26" xfId="0" applyFont="1" applyFill="1" applyBorder="1" applyAlignment="1">
      <alignment horizontal="left" vertical="center"/>
    </xf>
    <xf numFmtId="0" fontId="92" fillId="33" borderId="12" xfId="0" applyFont="1" applyFill="1" applyBorder="1" applyAlignment="1">
      <alignment horizontal="center"/>
    </xf>
    <xf numFmtId="0" fontId="97" fillId="0" borderId="0" xfId="0" applyFont="1" applyFill="1" applyBorder="1" applyAlignment="1">
      <alignment horizontal="right"/>
    </xf>
    <xf numFmtId="0" fontId="92" fillId="33" borderId="15" xfId="0" applyFont="1" applyFill="1" applyBorder="1" applyAlignment="1">
      <alignment horizontal="center" vertical="center"/>
    </xf>
    <xf numFmtId="0" fontId="92" fillId="33" borderId="14" xfId="0" applyFont="1" applyFill="1" applyBorder="1" applyAlignment="1">
      <alignment horizontal="center" vertical="center"/>
    </xf>
    <xf numFmtId="0" fontId="92" fillId="33" borderId="10" xfId="0" applyFont="1" applyFill="1" applyBorder="1" applyAlignment="1">
      <alignment horizontal="center" vertical="center" wrapText="1"/>
    </xf>
    <xf numFmtId="193" fontId="104" fillId="0" borderId="10" xfId="0" applyNumberFormat="1" applyFont="1" applyFill="1" applyBorder="1" applyAlignment="1">
      <alignment horizontal="center" vertical="center"/>
    </xf>
    <xf numFmtId="43" fontId="91" fillId="0" borderId="14" xfId="42" applyFont="1" applyFill="1" applyBorder="1" applyAlignment="1">
      <alignment horizontal="center" vertical="center" wrapText="1"/>
    </xf>
    <xf numFmtId="43" fontId="91" fillId="0" borderId="14" xfId="42" applyFont="1" applyFill="1" applyBorder="1" applyAlignment="1">
      <alignment horizontal="center" wrapText="1"/>
    </xf>
    <xf numFmtId="0" fontId="92" fillId="33" borderId="20" xfId="0" applyFont="1" applyFill="1" applyBorder="1" applyAlignment="1">
      <alignment horizontal="center" vertical="center" wrapText="1"/>
    </xf>
    <xf numFmtId="43" fontId="92" fillId="33" borderId="40" xfId="0" applyNumberFormat="1" applyFont="1" applyFill="1" applyBorder="1" applyAlignment="1">
      <alignment horizontal="center" vertical="center" wrapText="1"/>
    </xf>
    <xf numFmtId="43" fontId="92" fillId="33" borderId="39" xfId="0" applyNumberFormat="1" applyFont="1" applyFill="1" applyBorder="1" applyAlignment="1">
      <alignment horizontal="center" vertical="center" wrapText="1"/>
    </xf>
    <xf numFmtId="43" fontId="92" fillId="33" borderId="18" xfId="0" applyNumberFormat="1" applyFont="1" applyFill="1" applyBorder="1" applyAlignment="1">
      <alignment horizontal="center" vertical="center" wrapText="1"/>
    </xf>
    <xf numFmtId="0" fontId="105" fillId="0" borderId="34" xfId="0" applyFont="1" applyFill="1" applyBorder="1" applyAlignment="1" applyProtection="1">
      <alignment horizontal="right" vertical="center" wrapText="1"/>
      <protection/>
    </xf>
    <xf numFmtId="0" fontId="9"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9" fillId="0" borderId="41" xfId="0" applyFont="1" applyFill="1" applyBorder="1" applyAlignment="1" applyProtection="1">
      <alignment horizontal="right" vertical="center" wrapText="1"/>
      <protection/>
    </xf>
    <xf numFmtId="0" fontId="9" fillId="0" borderId="42" xfId="0" applyFont="1" applyFill="1" applyBorder="1" applyAlignment="1" applyProtection="1">
      <alignment horizontal="right" vertical="center" wrapText="1"/>
      <protection/>
    </xf>
    <xf numFmtId="0" fontId="9" fillId="0" borderId="43" xfId="0" applyFont="1" applyFill="1" applyBorder="1" applyAlignment="1" applyProtection="1">
      <alignment horizontal="right" vertical="center" wrapText="1"/>
      <protection/>
    </xf>
    <xf numFmtId="0" fontId="32" fillId="36" borderId="10" xfId="0" applyFont="1" applyFill="1" applyBorder="1" applyAlignment="1" applyProtection="1">
      <alignment horizontal="center" vertical="center" wrapText="1"/>
      <protection/>
    </xf>
    <xf numFmtId="0" fontId="61" fillId="36" borderId="10" xfId="0" applyFont="1" applyFill="1" applyBorder="1" applyAlignment="1" applyProtection="1">
      <alignment horizontal="center" vertical="center" wrapText="1"/>
      <protection/>
    </xf>
    <xf numFmtId="0" fontId="99" fillId="34" borderId="10" xfId="0" applyFont="1" applyFill="1" applyBorder="1" applyAlignment="1" applyProtection="1">
      <alignment horizontal="center" vertical="center"/>
      <protection/>
    </xf>
    <xf numFmtId="0" fontId="99"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32" fillId="34" borderId="10" xfId="0" applyFont="1" applyFill="1" applyBorder="1" applyAlignment="1" applyProtection="1">
      <alignment horizontal="center" vertical="center" wrapText="1"/>
      <protection/>
    </xf>
    <xf numFmtId="0" fontId="99" fillId="34" borderId="41" xfId="0" applyFont="1" applyFill="1" applyBorder="1" applyAlignment="1" applyProtection="1">
      <alignment horizontal="center" vertical="center" wrapText="1"/>
      <protection/>
    </xf>
    <xf numFmtId="0" fontId="99" fillId="34" borderId="42" xfId="0" applyFont="1" applyFill="1" applyBorder="1" applyAlignment="1" applyProtection="1">
      <alignment horizontal="center" vertical="center" wrapText="1"/>
      <protection/>
    </xf>
    <xf numFmtId="0" fontId="99" fillId="34" borderId="43" xfId="0" applyFont="1" applyFill="1" applyBorder="1" applyAlignment="1" applyProtection="1">
      <alignment horizontal="center" vertical="center" wrapText="1"/>
      <protection/>
    </xf>
    <xf numFmtId="0" fontId="32" fillId="37" borderId="10" xfId="0" applyFont="1" applyFill="1" applyBorder="1" applyAlignment="1" applyProtection="1">
      <alignment horizontal="center" vertical="center" wrapText="1"/>
      <protection/>
    </xf>
    <xf numFmtId="0" fontId="31" fillId="37" borderId="10" xfId="0" applyFont="1" applyFill="1" applyBorder="1" applyAlignment="1" applyProtection="1">
      <alignment horizontal="center" vertical="center" wrapText="1"/>
      <protection/>
    </xf>
    <xf numFmtId="0" fontId="103" fillId="0" borderId="10" xfId="0" applyFont="1" applyFill="1" applyBorder="1" applyAlignment="1" applyProtection="1">
      <alignment horizontal="center" vertical="center" wrapText="1"/>
      <protection/>
    </xf>
    <xf numFmtId="0" fontId="63" fillId="34" borderId="41" xfId="0" applyFont="1" applyFill="1" applyBorder="1" applyAlignment="1" applyProtection="1">
      <alignment horizontal="right" vertical="center"/>
      <protection/>
    </xf>
    <xf numFmtId="0" fontId="63" fillId="34" borderId="42" xfId="0" applyFont="1" applyFill="1" applyBorder="1" applyAlignment="1" applyProtection="1">
      <alignment horizontal="right" vertical="center"/>
      <protection/>
    </xf>
    <xf numFmtId="0" fontId="63" fillId="34" borderId="43" xfId="0" applyFont="1" applyFill="1" applyBorder="1" applyAlignment="1" applyProtection="1">
      <alignment horizontal="right" vertical="center"/>
      <protection/>
    </xf>
    <xf numFmtId="0" fontId="64" fillId="37" borderId="10" xfId="0" applyFont="1" applyFill="1" applyBorder="1" applyAlignment="1">
      <alignment horizontal="center" vertical="center" wrapText="1"/>
    </xf>
    <xf numFmtId="0" fontId="64" fillId="37" borderId="10" xfId="0" applyNumberFormat="1" applyFont="1" applyFill="1" applyBorder="1" applyAlignment="1">
      <alignment horizontal="center" vertical="center" wrapText="1"/>
    </xf>
    <xf numFmtId="0" fontId="64" fillId="37" borderId="10" xfId="0" applyNumberFormat="1" applyFont="1" applyFill="1" applyBorder="1" applyAlignment="1">
      <alignment horizontal="center" vertical="center" wrapText="1"/>
    </xf>
    <xf numFmtId="49" fontId="65" fillId="34" borderId="10" xfId="0" applyNumberFormat="1" applyFont="1" applyFill="1" applyBorder="1" applyAlignment="1">
      <alignment horizontal="center" vertical="center" wrapText="1"/>
    </xf>
    <xf numFmtId="2" fontId="65" fillId="34" borderId="10" xfId="0" applyNumberFormat="1" applyFont="1" applyFill="1" applyBorder="1" applyAlignment="1">
      <alignment horizontal="center" vertical="center" wrapText="1"/>
    </xf>
    <xf numFmtId="0" fontId="66" fillId="34" borderId="10" xfId="0" applyNumberFormat="1" applyFont="1" applyFill="1" applyBorder="1" applyAlignment="1">
      <alignment horizontal="center" vertical="center" wrapText="1"/>
    </xf>
    <xf numFmtId="2" fontId="65" fillId="34" borderId="10" xfId="42" applyNumberFormat="1" applyFont="1" applyFill="1" applyBorder="1" applyAlignment="1">
      <alignment horizontal="center" vertical="center" wrapText="1"/>
    </xf>
    <xf numFmtId="2" fontId="66" fillId="34" borderId="10" xfId="0" applyNumberFormat="1"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29" fillId="34" borderId="10" xfId="0" applyNumberFormat="1" applyFont="1" applyFill="1" applyBorder="1" applyAlignment="1">
      <alignment horizontal="center" vertical="center" wrapText="1"/>
    </xf>
    <xf numFmtId="0" fontId="29" fillId="34" borderId="10" xfId="0" applyFont="1" applyFill="1" applyBorder="1" applyAlignment="1">
      <alignment horizontal="center" vertical="center" wrapText="1"/>
    </xf>
    <xf numFmtId="187" fontId="65" fillId="34" borderId="10" xfId="0" applyNumberFormat="1" applyFont="1" applyFill="1" applyBorder="1" applyAlignment="1">
      <alignment horizontal="center" vertical="center" wrapText="1"/>
    </xf>
    <xf numFmtId="0" fontId="29" fillId="34" borderId="10" xfId="0" applyFont="1" applyFill="1" applyBorder="1" applyAlignment="1">
      <alignment horizontal="center" vertical="center"/>
    </xf>
    <xf numFmtId="2" fontId="65" fillId="34" borderId="10" xfId="45" applyNumberFormat="1" applyFont="1" applyFill="1" applyBorder="1" applyAlignment="1">
      <alignment horizontal="center" vertical="center" wrapText="1"/>
    </xf>
    <xf numFmtId="2" fontId="29" fillId="34" borderId="10" xfId="0" applyNumberFormat="1" applyFont="1" applyFill="1" applyBorder="1" applyAlignment="1">
      <alignment horizontal="center" vertical="center" wrapText="1"/>
    </xf>
    <xf numFmtId="0" fontId="65" fillId="34" borderId="10" xfId="0" applyFont="1" applyFill="1" applyBorder="1" applyAlignment="1">
      <alignment horizontal="center" vertical="center"/>
    </xf>
    <xf numFmtId="0" fontId="65" fillId="34" borderId="10" xfId="0" applyFont="1" applyFill="1" applyBorder="1" applyAlignment="1">
      <alignment horizontal="center" vertical="center" wrapText="1"/>
    </xf>
    <xf numFmtId="49" fontId="65" fillId="34" borderId="10" xfId="59" applyNumberFormat="1" applyFont="1" applyFill="1" applyBorder="1" applyAlignment="1">
      <alignment horizontal="center" vertical="center" wrapText="1"/>
      <protection/>
    </xf>
    <xf numFmtId="0" fontId="65" fillId="34" borderId="10" xfId="45" applyNumberFormat="1" applyFont="1" applyFill="1" applyBorder="1" applyAlignment="1">
      <alignment horizontal="center" vertical="center" wrapText="1"/>
    </xf>
    <xf numFmtId="49" fontId="71" fillId="34" borderId="10" xfId="0" applyNumberFormat="1" applyFont="1" applyFill="1" applyBorder="1" applyAlignment="1">
      <alignment horizontal="center" vertical="center" wrapText="1"/>
    </xf>
    <xf numFmtId="49" fontId="65" fillId="34" borderId="41" xfId="0" applyNumberFormat="1" applyFont="1" applyFill="1" applyBorder="1" applyAlignment="1">
      <alignment horizontal="center" vertical="center" wrapText="1"/>
    </xf>
    <xf numFmtId="49" fontId="65" fillId="34" borderId="43" xfId="0" applyNumberFormat="1" applyFont="1" applyFill="1" applyBorder="1" applyAlignment="1">
      <alignment horizontal="center" vertical="center" wrapText="1"/>
    </xf>
    <xf numFmtId="2" fontId="66" fillId="34" borderId="41" xfId="0" applyNumberFormat="1" applyFont="1" applyFill="1" applyBorder="1" applyAlignment="1">
      <alignment vertical="center" wrapText="1"/>
    </xf>
    <xf numFmtId="0" fontId="66" fillId="34" borderId="42" xfId="0" applyNumberFormat="1" applyFont="1" applyFill="1" applyBorder="1" applyAlignment="1">
      <alignment vertical="center" wrapText="1"/>
    </xf>
    <xf numFmtId="0" fontId="66" fillId="34" borderId="43" xfId="0" applyNumberFormat="1" applyFont="1" applyFill="1" applyBorder="1" applyAlignment="1">
      <alignment vertical="center" wrapText="1"/>
    </xf>
    <xf numFmtId="0" fontId="65" fillId="34" borderId="10" xfId="0" applyNumberFormat="1" applyFont="1" applyFill="1" applyBorder="1" applyAlignment="1">
      <alignment horizontal="center" vertical="center" wrapText="1"/>
    </xf>
    <xf numFmtId="49" fontId="65" fillId="34" borderId="10" xfId="0" applyNumberFormat="1"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65" fillId="34" borderId="10" xfId="0" applyFont="1" applyFill="1" applyBorder="1" applyAlignment="1" applyProtection="1">
      <alignment horizontal="center" vertical="center" wrapText="1"/>
      <protection locked="0"/>
    </xf>
    <xf numFmtId="2" fontId="65" fillId="34" borderId="41" xfId="42" applyNumberFormat="1" applyFont="1" applyFill="1" applyBorder="1" applyAlignment="1">
      <alignment horizontal="center" vertical="center" wrapText="1"/>
    </xf>
    <xf numFmtId="2" fontId="65" fillId="34" borderId="43" xfId="42" applyNumberFormat="1" applyFont="1" applyFill="1" applyBorder="1" applyAlignment="1">
      <alignment horizontal="center" vertical="center" wrapText="1"/>
    </xf>
    <xf numFmtId="0" fontId="66" fillId="34" borderId="0" xfId="0" applyNumberFormat="1" applyFont="1" applyFill="1" applyBorder="1" applyAlignment="1">
      <alignment horizontal="center" vertical="center" wrapText="1"/>
    </xf>
    <xf numFmtId="0" fontId="66" fillId="34" borderId="0" xfId="0" applyNumberFormat="1" applyFont="1" applyFill="1" applyBorder="1" applyAlignment="1">
      <alignment horizontal="center" vertical="center" wrapText="1"/>
    </xf>
    <xf numFmtId="0" fontId="66" fillId="34" borderId="0" xfId="0" applyFont="1" applyFill="1" applyAlignment="1" applyProtection="1">
      <alignment horizontal="center" vertical="center"/>
      <protection/>
    </xf>
    <xf numFmtId="0" fontId="66" fillId="34" borderId="0" xfId="0" applyFont="1" applyFill="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6"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L219"/>
  <sheetViews>
    <sheetView zoomScalePageLayoutView="0" workbookViewId="0" topLeftCell="A205">
      <selection activeCell="C225" sqref="C225"/>
    </sheetView>
  </sheetViews>
  <sheetFormatPr defaultColWidth="9.140625" defaultRowHeight="15"/>
  <cols>
    <col min="1" max="2" width="13.7109375" style="0" customWidth="1"/>
    <col min="3" max="3" width="18.421875" style="0" customWidth="1"/>
    <col min="4" max="4" width="13.7109375" style="0" customWidth="1"/>
    <col min="5" max="5" width="18.140625" style="0" customWidth="1"/>
    <col min="6" max="6" width="30.57421875" style="0" customWidth="1"/>
    <col min="7" max="7" width="21.421875" style="0" customWidth="1"/>
    <col min="8" max="8" width="17.57421875" style="0" customWidth="1"/>
    <col min="9" max="9" width="13.7109375" style="0" customWidth="1"/>
    <col min="10" max="10" width="16.57421875" style="0" customWidth="1"/>
    <col min="11" max="11" width="19.00390625" style="0" customWidth="1"/>
    <col min="12" max="12" width="20.8515625" style="0" customWidth="1"/>
  </cols>
  <sheetData>
    <row r="1" spans="1:12" ht="24.75" customHeight="1">
      <c r="A1" s="261" t="s">
        <v>171</v>
      </c>
      <c r="B1" s="261"/>
      <c r="C1" s="261"/>
      <c r="D1" s="261"/>
      <c r="E1" s="261"/>
      <c r="F1" s="261"/>
      <c r="G1" s="261"/>
      <c r="H1" s="261"/>
      <c r="I1" s="261"/>
      <c r="J1" s="261"/>
      <c r="K1" s="261"/>
      <c r="L1" s="261"/>
    </row>
    <row r="2" spans="1:12" ht="24.75" customHeight="1">
      <c r="A2" s="262" t="s">
        <v>172</v>
      </c>
      <c r="B2" s="263"/>
      <c r="C2" s="263"/>
      <c r="D2" s="263"/>
      <c r="E2" s="263"/>
      <c r="F2" s="263"/>
      <c r="G2" s="263"/>
      <c r="H2" s="263"/>
      <c r="I2" s="263"/>
      <c r="J2" s="263"/>
      <c r="K2" s="263"/>
      <c r="L2" s="263"/>
    </row>
    <row r="3" spans="1:12" ht="24.75" customHeight="1">
      <c r="A3" s="264" t="s">
        <v>18</v>
      </c>
      <c r="B3" s="265"/>
      <c r="C3" s="265"/>
      <c r="D3" s="265"/>
      <c r="E3" s="265"/>
      <c r="F3" s="265"/>
      <c r="G3" s="265"/>
      <c r="H3" s="265"/>
      <c r="I3" s="265"/>
      <c r="J3" s="265"/>
      <c r="K3" s="265"/>
      <c r="L3" s="266"/>
    </row>
    <row r="4" spans="1:12" ht="35.25" customHeight="1">
      <c r="A4" s="267" t="s">
        <v>173</v>
      </c>
      <c r="B4" s="267" t="s">
        <v>174</v>
      </c>
      <c r="C4" s="267" t="s">
        <v>175</v>
      </c>
      <c r="D4" s="267" t="s">
        <v>176</v>
      </c>
      <c r="E4" s="267" t="s">
        <v>177</v>
      </c>
      <c r="F4" s="267" t="s">
        <v>178</v>
      </c>
      <c r="G4" s="267" t="s">
        <v>15</v>
      </c>
      <c r="H4" s="267" t="s">
        <v>179</v>
      </c>
      <c r="I4" s="267" t="s">
        <v>180</v>
      </c>
      <c r="J4" s="267" t="s">
        <v>181</v>
      </c>
      <c r="K4" s="268" t="s">
        <v>182</v>
      </c>
      <c r="L4" s="268" t="s">
        <v>16</v>
      </c>
    </row>
    <row r="5" spans="1:12" ht="24.75" customHeight="1">
      <c r="A5" s="269" t="s">
        <v>183</v>
      </c>
      <c r="B5" s="269">
        <v>2778</v>
      </c>
      <c r="C5" s="270" t="s">
        <v>184</v>
      </c>
      <c r="D5" s="270" t="s">
        <v>185</v>
      </c>
      <c r="E5" s="270">
        <v>1</v>
      </c>
      <c r="F5" s="270" t="s">
        <v>186</v>
      </c>
      <c r="G5" s="270" t="s">
        <v>187</v>
      </c>
      <c r="H5" s="270"/>
      <c r="I5" s="270"/>
      <c r="J5" s="270"/>
      <c r="K5" s="271"/>
      <c r="L5" s="271"/>
    </row>
    <row r="6" spans="1:12" ht="24.75" customHeight="1">
      <c r="A6" s="269">
        <v>14800000</v>
      </c>
      <c r="B6" s="269">
        <v>80</v>
      </c>
      <c r="C6" s="270" t="s">
        <v>184</v>
      </c>
      <c r="D6" s="270" t="s">
        <v>188</v>
      </c>
      <c r="E6" s="270">
        <v>1</v>
      </c>
      <c r="F6" s="270" t="s">
        <v>186</v>
      </c>
      <c r="G6" s="270" t="s">
        <v>187</v>
      </c>
      <c r="H6" s="270"/>
      <c r="I6" s="270"/>
      <c r="J6" s="270"/>
      <c r="K6" s="271"/>
      <c r="L6" s="271"/>
    </row>
    <row r="7" spans="1:12" ht="24.75" customHeight="1">
      <c r="A7" s="269">
        <v>15400000</v>
      </c>
      <c r="B7" s="269">
        <v>4400</v>
      </c>
      <c r="C7" s="270" t="s">
        <v>184</v>
      </c>
      <c r="D7" s="270" t="s">
        <v>185</v>
      </c>
      <c r="E7" s="270">
        <v>1</v>
      </c>
      <c r="F7" s="270" t="s">
        <v>186</v>
      </c>
      <c r="G7" s="270" t="s">
        <v>187</v>
      </c>
      <c r="H7" s="270"/>
      <c r="I7" s="270"/>
      <c r="J7" s="270"/>
      <c r="K7" s="271"/>
      <c r="L7" s="271"/>
    </row>
    <row r="8" spans="1:12" ht="24.75" customHeight="1">
      <c r="A8" s="269">
        <v>18100000</v>
      </c>
      <c r="B8" s="269">
        <v>184</v>
      </c>
      <c r="C8" s="270" t="s">
        <v>184</v>
      </c>
      <c r="D8" s="270" t="s">
        <v>188</v>
      </c>
      <c r="E8" s="270">
        <v>1</v>
      </c>
      <c r="F8" s="270" t="s">
        <v>186</v>
      </c>
      <c r="G8" s="270" t="s">
        <v>187</v>
      </c>
      <c r="H8" s="270"/>
      <c r="I8" s="270"/>
      <c r="J8" s="270"/>
      <c r="K8" s="271"/>
      <c r="L8" s="271"/>
    </row>
    <row r="9" spans="1:12" ht="24.75" customHeight="1">
      <c r="A9" s="269">
        <v>18100000</v>
      </c>
      <c r="B9" s="269">
        <v>97.5</v>
      </c>
      <c r="C9" s="270" t="s">
        <v>184</v>
      </c>
      <c r="D9" s="270" t="s">
        <v>188</v>
      </c>
      <c r="E9" s="270">
        <v>1</v>
      </c>
      <c r="F9" s="270" t="s">
        <v>186</v>
      </c>
      <c r="G9" s="270" t="s">
        <v>187</v>
      </c>
      <c r="H9" s="270"/>
      <c r="I9" s="270"/>
      <c r="J9" s="270"/>
      <c r="K9" s="271"/>
      <c r="L9" s="271"/>
    </row>
    <row r="10" spans="1:12" ht="24.75" customHeight="1">
      <c r="A10" s="269">
        <v>19600000</v>
      </c>
      <c r="B10" s="269">
        <v>2800</v>
      </c>
      <c r="C10" s="270" t="s">
        <v>184</v>
      </c>
      <c r="D10" s="270" t="s">
        <v>188</v>
      </c>
      <c r="E10" s="270">
        <v>1</v>
      </c>
      <c r="F10" s="270" t="s">
        <v>186</v>
      </c>
      <c r="G10" s="270" t="s">
        <v>187</v>
      </c>
      <c r="H10" s="270"/>
      <c r="I10" s="270"/>
      <c r="J10" s="270"/>
      <c r="K10" s="271"/>
      <c r="L10" s="271"/>
    </row>
    <row r="11" spans="1:12" ht="24.75" customHeight="1">
      <c r="A11" s="269">
        <v>22100000</v>
      </c>
      <c r="B11" s="269">
        <v>175.5</v>
      </c>
      <c r="C11" s="270" t="s">
        <v>184</v>
      </c>
      <c r="D11" s="270" t="s">
        <v>189</v>
      </c>
      <c r="E11" s="270">
        <v>1</v>
      </c>
      <c r="F11" s="270" t="s">
        <v>186</v>
      </c>
      <c r="G11" s="270" t="s">
        <v>187</v>
      </c>
      <c r="H11" s="270"/>
      <c r="I11" s="270"/>
      <c r="J11" s="270"/>
      <c r="K11" s="271"/>
      <c r="L11" s="271"/>
    </row>
    <row r="12" spans="1:12" ht="24.75" customHeight="1">
      <c r="A12" s="269">
        <v>22100000</v>
      </c>
      <c r="B12" s="269">
        <v>341.25</v>
      </c>
      <c r="C12" s="270" t="s">
        <v>184</v>
      </c>
      <c r="D12" s="270" t="s">
        <v>190</v>
      </c>
      <c r="E12" s="270">
        <v>1</v>
      </c>
      <c r="F12" s="270" t="s">
        <v>186</v>
      </c>
      <c r="G12" s="270" t="s">
        <v>187</v>
      </c>
      <c r="H12" s="270"/>
      <c r="I12" s="270"/>
      <c r="J12" s="270"/>
      <c r="K12" s="271"/>
      <c r="L12" s="271"/>
    </row>
    <row r="13" spans="1:12" ht="24.75" customHeight="1">
      <c r="A13" s="269">
        <v>22100000</v>
      </c>
      <c r="B13" s="269">
        <v>117</v>
      </c>
      <c r="C13" s="270" t="s">
        <v>184</v>
      </c>
      <c r="D13" s="270" t="s">
        <v>190</v>
      </c>
      <c r="E13" s="270">
        <v>1</v>
      </c>
      <c r="F13" s="270" t="s">
        <v>186</v>
      </c>
      <c r="G13" s="270" t="s">
        <v>187</v>
      </c>
      <c r="H13" s="270"/>
      <c r="I13" s="270"/>
      <c r="J13" s="270"/>
      <c r="K13" s="271"/>
      <c r="L13" s="271"/>
    </row>
    <row r="14" spans="1:12" ht="24.75" customHeight="1">
      <c r="A14" s="269">
        <v>22100000</v>
      </c>
      <c r="B14" s="269">
        <v>117</v>
      </c>
      <c r="C14" s="270" t="s">
        <v>184</v>
      </c>
      <c r="D14" s="270" t="s">
        <v>188</v>
      </c>
      <c r="E14" s="270">
        <v>1</v>
      </c>
      <c r="F14" s="270" t="s">
        <v>186</v>
      </c>
      <c r="G14" s="270" t="s">
        <v>187</v>
      </c>
      <c r="H14" s="270"/>
      <c r="I14" s="270"/>
      <c r="J14" s="270"/>
      <c r="K14" s="271"/>
      <c r="L14" s="271"/>
    </row>
    <row r="15" spans="1:12" ht="24.75" customHeight="1">
      <c r="A15" s="269">
        <v>22400000</v>
      </c>
      <c r="B15" s="269">
        <v>580</v>
      </c>
      <c r="C15" s="270" t="s">
        <v>184</v>
      </c>
      <c r="D15" s="270" t="s">
        <v>191</v>
      </c>
      <c r="E15" s="270">
        <v>1</v>
      </c>
      <c r="F15" s="270" t="s">
        <v>186</v>
      </c>
      <c r="G15" s="270" t="s">
        <v>187</v>
      </c>
      <c r="H15" s="270"/>
      <c r="I15" s="270"/>
      <c r="J15" s="270"/>
      <c r="K15" s="271"/>
      <c r="L15" s="271"/>
    </row>
    <row r="16" spans="1:12" ht="24.75" customHeight="1">
      <c r="A16" s="269">
        <v>22400000</v>
      </c>
      <c r="B16" s="269">
        <v>360</v>
      </c>
      <c r="C16" s="270" t="s">
        <v>184</v>
      </c>
      <c r="D16" s="270" t="s">
        <v>192</v>
      </c>
      <c r="E16" s="270">
        <v>1</v>
      </c>
      <c r="F16" s="270" t="s">
        <v>186</v>
      </c>
      <c r="G16" s="270" t="s">
        <v>187</v>
      </c>
      <c r="H16" s="270"/>
      <c r="I16" s="270"/>
      <c r="J16" s="270"/>
      <c r="K16" s="271"/>
      <c r="L16" s="271"/>
    </row>
    <row r="17" spans="1:12" ht="24.75" customHeight="1">
      <c r="A17" s="269">
        <v>22400000</v>
      </c>
      <c r="B17" s="269">
        <v>110</v>
      </c>
      <c r="C17" s="270" t="s">
        <v>184</v>
      </c>
      <c r="D17" s="270" t="s">
        <v>190</v>
      </c>
      <c r="E17" s="270">
        <v>1</v>
      </c>
      <c r="F17" s="270" t="s">
        <v>193</v>
      </c>
      <c r="G17" s="270" t="s">
        <v>187</v>
      </c>
      <c r="H17" s="270"/>
      <c r="I17" s="270"/>
      <c r="J17" s="270"/>
      <c r="K17" s="271"/>
      <c r="L17" s="271"/>
    </row>
    <row r="18" spans="1:12" ht="24.75" customHeight="1">
      <c r="A18" s="269">
        <v>22400000</v>
      </c>
      <c r="B18" s="269">
        <v>155</v>
      </c>
      <c r="C18" s="270" t="s">
        <v>184</v>
      </c>
      <c r="D18" s="270" t="s">
        <v>190</v>
      </c>
      <c r="E18" s="270">
        <v>1</v>
      </c>
      <c r="F18" s="270" t="s">
        <v>186</v>
      </c>
      <c r="G18" s="270" t="s">
        <v>187</v>
      </c>
      <c r="H18" s="270"/>
      <c r="I18" s="270"/>
      <c r="J18" s="270"/>
      <c r="K18" s="271"/>
      <c r="L18" s="271"/>
    </row>
    <row r="19" spans="1:12" ht="24.75" customHeight="1">
      <c r="A19" s="269">
        <v>22400000</v>
      </c>
      <c r="B19" s="269">
        <v>250</v>
      </c>
      <c r="C19" s="270" t="s">
        <v>184</v>
      </c>
      <c r="D19" s="270" t="s">
        <v>188</v>
      </c>
      <c r="E19" s="270">
        <v>1</v>
      </c>
      <c r="F19" s="270" t="s">
        <v>186</v>
      </c>
      <c r="G19" s="270" t="s">
        <v>187</v>
      </c>
      <c r="H19" s="270"/>
      <c r="I19" s="270"/>
      <c r="J19" s="270"/>
      <c r="K19" s="271"/>
      <c r="L19" s="271"/>
    </row>
    <row r="20" spans="1:12" ht="24.75" customHeight="1">
      <c r="A20" s="269">
        <v>22800000</v>
      </c>
      <c r="B20" s="269">
        <v>1550</v>
      </c>
      <c r="C20" s="270" t="s">
        <v>184</v>
      </c>
      <c r="D20" s="270" t="s">
        <v>194</v>
      </c>
      <c r="E20" s="270">
        <v>1</v>
      </c>
      <c r="F20" s="270" t="s">
        <v>186</v>
      </c>
      <c r="G20" s="270" t="s">
        <v>187</v>
      </c>
      <c r="H20" s="270"/>
      <c r="I20" s="270"/>
      <c r="J20" s="270"/>
      <c r="K20" s="271"/>
      <c r="L20" s="271"/>
    </row>
    <row r="21" spans="1:12" ht="24.75" customHeight="1">
      <c r="A21" s="269">
        <v>22800000</v>
      </c>
      <c r="B21" s="269">
        <v>3210</v>
      </c>
      <c r="C21" s="270" t="s">
        <v>184</v>
      </c>
      <c r="D21" s="270" t="s">
        <v>192</v>
      </c>
      <c r="E21" s="270">
        <v>1</v>
      </c>
      <c r="F21" s="270" t="s">
        <v>186</v>
      </c>
      <c r="G21" s="270" t="s">
        <v>187</v>
      </c>
      <c r="H21" s="270"/>
      <c r="I21" s="270"/>
      <c r="J21" s="270"/>
      <c r="K21" s="271"/>
      <c r="L21" s="271"/>
    </row>
    <row r="22" spans="1:12" ht="24.75" customHeight="1">
      <c r="A22" s="269">
        <v>24300000</v>
      </c>
      <c r="B22" s="269">
        <v>1045</v>
      </c>
      <c r="C22" s="270" t="s">
        <v>184</v>
      </c>
      <c r="D22" s="270" t="s">
        <v>188</v>
      </c>
      <c r="E22" s="270">
        <v>1</v>
      </c>
      <c r="F22" s="270" t="s">
        <v>186</v>
      </c>
      <c r="G22" s="270" t="s">
        <v>187</v>
      </c>
      <c r="H22" s="270"/>
      <c r="I22" s="270"/>
      <c r="J22" s="270"/>
      <c r="K22" s="271"/>
      <c r="L22" s="271"/>
    </row>
    <row r="23" spans="1:12" ht="24.75" customHeight="1">
      <c r="A23" s="269">
        <v>24900000</v>
      </c>
      <c r="B23" s="269">
        <v>240</v>
      </c>
      <c r="C23" s="270" t="s">
        <v>184</v>
      </c>
      <c r="D23" s="270" t="s">
        <v>185</v>
      </c>
      <c r="E23" s="270">
        <v>1</v>
      </c>
      <c r="F23" s="270" t="s">
        <v>186</v>
      </c>
      <c r="G23" s="270" t="s">
        <v>187</v>
      </c>
      <c r="H23" s="270"/>
      <c r="I23" s="270"/>
      <c r="J23" s="270"/>
      <c r="K23" s="271"/>
      <c r="L23" s="271"/>
    </row>
    <row r="24" spans="1:12" ht="24.75" customHeight="1">
      <c r="A24" s="269">
        <v>30100000</v>
      </c>
      <c r="B24" s="269">
        <v>2884</v>
      </c>
      <c r="C24" s="270" t="s">
        <v>184</v>
      </c>
      <c r="D24" s="270" t="s">
        <v>194</v>
      </c>
      <c r="E24" s="270">
        <v>1</v>
      </c>
      <c r="F24" s="270" t="s">
        <v>186</v>
      </c>
      <c r="G24" s="270" t="s">
        <v>187</v>
      </c>
      <c r="H24" s="270"/>
      <c r="I24" s="270"/>
      <c r="J24" s="270"/>
      <c r="K24" s="271"/>
      <c r="L24" s="271"/>
    </row>
    <row r="25" spans="1:12" ht="24.75" customHeight="1">
      <c r="A25" s="269">
        <v>30100000</v>
      </c>
      <c r="B25" s="269">
        <v>498</v>
      </c>
      <c r="C25" s="270" t="s">
        <v>184</v>
      </c>
      <c r="D25" s="270" t="s">
        <v>194</v>
      </c>
      <c r="E25" s="270">
        <v>1</v>
      </c>
      <c r="F25" s="270" t="s">
        <v>186</v>
      </c>
      <c r="G25" s="270" t="s">
        <v>187</v>
      </c>
      <c r="H25" s="270"/>
      <c r="I25" s="270"/>
      <c r="J25" s="270"/>
      <c r="K25" s="271"/>
      <c r="L25" s="271"/>
    </row>
    <row r="26" spans="1:12" ht="24.75" customHeight="1">
      <c r="A26" s="269">
        <v>30100000</v>
      </c>
      <c r="B26" s="269">
        <v>60</v>
      </c>
      <c r="C26" s="270" t="s">
        <v>184</v>
      </c>
      <c r="D26" s="270" t="s">
        <v>194</v>
      </c>
      <c r="E26" s="270">
        <v>1</v>
      </c>
      <c r="F26" s="270" t="s">
        <v>186</v>
      </c>
      <c r="G26" s="270" t="s">
        <v>187</v>
      </c>
      <c r="H26" s="270"/>
      <c r="I26" s="270"/>
      <c r="J26" s="270"/>
      <c r="K26" s="271"/>
      <c r="L26" s="271"/>
    </row>
    <row r="27" spans="1:12" ht="24.75" customHeight="1">
      <c r="A27" s="269">
        <v>30100000</v>
      </c>
      <c r="B27" s="269">
        <v>450</v>
      </c>
      <c r="C27" s="270" t="s">
        <v>184</v>
      </c>
      <c r="D27" s="270" t="s">
        <v>190</v>
      </c>
      <c r="E27" s="270">
        <v>1</v>
      </c>
      <c r="F27" s="270" t="s">
        <v>186</v>
      </c>
      <c r="G27" s="270" t="s">
        <v>187</v>
      </c>
      <c r="H27" s="270"/>
      <c r="I27" s="270"/>
      <c r="J27" s="270"/>
      <c r="K27" s="271"/>
      <c r="L27" s="271"/>
    </row>
    <row r="28" spans="1:12" ht="24.75" customHeight="1">
      <c r="A28" s="269">
        <v>30100000</v>
      </c>
      <c r="B28" s="269">
        <v>29.4</v>
      </c>
      <c r="C28" s="270" t="s">
        <v>184</v>
      </c>
      <c r="D28" s="270" t="s">
        <v>189</v>
      </c>
      <c r="E28" s="270">
        <v>1</v>
      </c>
      <c r="F28" s="270" t="s">
        <v>186</v>
      </c>
      <c r="G28" s="270" t="s">
        <v>187</v>
      </c>
      <c r="H28" s="270"/>
      <c r="I28" s="270"/>
      <c r="J28" s="270"/>
      <c r="K28" s="271"/>
      <c r="L28" s="271"/>
    </row>
    <row r="29" spans="1:12" ht="24.75" customHeight="1">
      <c r="A29" s="269">
        <v>30100000</v>
      </c>
      <c r="B29" s="269">
        <v>6280</v>
      </c>
      <c r="C29" s="270" t="s">
        <v>195</v>
      </c>
      <c r="D29" s="270" t="s">
        <v>185</v>
      </c>
      <c r="E29" s="270">
        <v>1</v>
      </c>
      <c r="F29" s="270"/>
      <c r="G29" s="270" t="s">
        <v>187</v>
      </c>
      <c r="H29" s="270"/>
      <c r="I29" s="270"/>
      <c r="J29" s="270"/>
      <c r="K29" s="271"/>
      <c r="L29" s="271"/>
    </row>
    <row r="30" spans="1:12" ht="24.75" customHeight="1">
      <c r="A30" s="269">
        <v>30100000</v>
      </c>
      <c r="B30" s="269">
        <v>35</v>
      </c>
      <c r="C30" s="270" t="s">
        <v>184</v>
      </c>
      <c r="D30" s="270" t="s">
        <v>190</v>
      </c>
      <c r="E30" s="270">
        <v>1</v>
      </c>
      <c r="F30" s="270" t="s">
        <v>186</v>
      </c>
      <c r="G30" s="270" t="s">
        <v>187</v>
      </c>
      <c r="H30" s="270"/>
      <c r="I30" s="270"/>
      <c r="J30" s="270"/>
      <c r="K30" s="271"/>
      <c r="L30" s="271"/>
    </row>
    <row r="31" spans="1:12" ht="24.75" customHeight="1">
      <c r="A31" s="269">
        <v>30200000</v>
      </c>
      <c r="B31" s="269">
        <v>2300</v>
      </c>
      <c r="C31" s="270" t="s">
        <v>184</v>
      </c>
      <c r="D31" s="270" t="s">
        <v>190</v>
      </c>
      <c r="E31" s="270">
        <v>1</v>
      </c>
      <c r="F31" s="270" t="s">
        <v>186</v>
      </c>
      <c r="G31" s="270" t="s">
        <v>187</v>
      </c>
      <c r="H31" s="270"/>
      <c r="I31" s="270"/>
      <c r="J31" s="270"/>
      <c r="K31" s="271"/>
      <c r="L31" s="271"/>
    </row>
    <row r="32" spans="1:12" ht="24.75" customHeight="1">
      <c r="A32" s="269">
        <v>30200000</v>
      </c>
      <c r="B32" s="269">
        <v>40</v>
      </c>
      <c r="C32" s="270" t="s">
        <v>184</v>
      </c>
      <c r="D32" s="270" t="s">
        <v>188</v>
      </c>
      <c r="E32" s="270">
        <v>1</v>
      </c>
      <c r="F32" s="270" t="s">
        <v>186</v>
      </c>
      <c r="G32" s="270" t="s">
        <v>187</v>
      </c>
      <c r="H32" s="270"/>
      <c r="I32" s="270"/>
      <c r="J32" s="270"/>
      <c r="K32" s="271"/>
      <c r="L32" s="271"/>
    </row>
    <row r="33" spans="1:12" ht="24.75" customHeight="1">
      <c r="A33" s="269">
        <v>30200000</v>
      </c>
      <c r="B33" s="269">
        <v>838.25</v>
      </c>
      <c r="C33" s="270" t="s">
        <v>184</v>
      </c>
      <c r="D33" s="270" t="s">
        <v>188</v>
      </c>
      <c r="E33" s="270">
        <v>1</v>
      </c>
      <c r="F33" s="270" t="s">
        <v>186</v>
      </c>
      <c r="G33" s="270" t="s">
        <v>187</v>
      </c>
      <c r="H33" s="270"/>
      <c r="I33" s="270"/>
      <c r="J33" s="270"/>
      <c r="K33" s="271"/>
      <c r="L33" s="271"/>
    </row>
    <row r="34" spans="1:12" ht="24.75" customHeight="1">
      <c r="A34" s="269">
        <v>31200000</v>
      </c>
      <c r="B34" s="269">
        <v>320</v>
      </c>
      <c r="C34" s="270" t="s">
        <v>184</v>
      </c>
      <c r="D34" s="270" t="s">
        <v>194</v>
      </c>
      <c r="E34" s="270">
        <v>1</v>
      </c>
      <c r="F34" s="270" t="s">
        <v>186</v>
      </c>
      <c r="G34" s="270" t="s">
        <v>187</v>
      </c>
      <c r="H34" s="270"/>
      <c r="I34" s="270"/>
      <c r="J34" s="270"/>
      <c r="K34" s="271"/>
      <c r="L34" s="271"/>
    </row>
    <row r="35" spans="1:12" ht="24.75" customHeight="1">
      <c r="A35" s="269">
        <v>31500000</v>
      </c>
      <c r="B35" s="269">
        <v>200</v>
      </c>
      <c r="C35" s="270" t="s">
        <v>184</v>
      </c>
      <c r="D35" s="270" t="s">
        <v>194</v>
      </c>
      <c r="E35" s="270">
        <v>1</v>
      </c>
      <c r="F35" s="270" t="s">
        <v>186</v>
      </c>
      <c r="G35" s="270" t="s">
        <v>187</v>
      </c>
      <c r="H35" s="270"/>
      <c r="I35" s="270"/>
      <c r="J35" s="270"/>
      <c r="K35" s="271"/>
      <c r="L35" s="271"/>
    </row>
    <row r="36" spans="1:12" ht="24.75" customHeight="1">
      <c r="A36" s="269">
        <v>31500000</v>
      </c>
      <c r="B36" s="269">
        <v>117</v>
      </c>
      <c r="C36" s="270" t="s">
        <v>184</v>
      </c>
      <c r="D36" s="270" t="s">
        <v>188</v>
      </c>
      <c r="E36" s="270">
        <v>1</v>
      </c>
      <c r="F36" s="270" t="s">
        <v>186</v>
      </c>
      <c r="G36" s="270" t="s">
        <v>187</v>
      </c>
      <c r="H36" s="270"/>
      <c r="I36" s="270"/>
      <c r="J36" s="270"/>
      <c r="K36" s="271"/>
      <c r="L36" s="271"/>
    </row>
    <row r="37" spans="1:12" ht="24.75" customHeight="1">
      <c r="A37" s="269">
        <v>31500000</v>
      </c>
      <c r="B37" s="269">
        <v>24.5</v>
      </c>
      <c r="C37" s="270" t="s">
        <v>184</v>
      </c>
      <c r="D37" s="270" t="s">
        <v>190</v>
      </c>
      <c r="E37" s="270">
        <v>1</v>
      </c>
      <c r="F37" s="270" t="s">
        <v>186</v>
      </c>
      <c r="G37" s="270" t="s">
        <v>187</v>
      </c>
      <c r="H37" s="270"/>
      <c r="I37" s="270"/>
      <c r="J37" s="270"/>
      <c r="K37" s="271"/>
      <c r="L37" s="271"/>
    </row>
    <row r="38" spans="1:12" ht="24.75" customHeight="1">
      <c r="A38" s="269">
        <v>33700000</v>
      </c>
      <c r="B38" s="272">
        <v>4930</v>
      </c>
      <c r="C38" s="270" t="s">
        <v>184</v>
      </c>
      <c r="D38" s="270" t="s">
        <v>188</v>
      </c>
      <c r="E38" s="270">
        <v>1</v>
      </c>
      <c r="F38" s="270" t="s">
        <v>186</v>
      </c>
      <c r="G38" s="270" t="s">
        <v>187</v>
      </c>
      <c r="H38" s="270"/>
      <c r="I38" s="270"/>
      <c r="J38" s="270"/>
      <c r="K38" s="271"/>
      <c r="L38" s="271"/>
    </row>
    <row r="39" spans="1:12" ht="24.75" customHeight="1">
      <c r="A39" s="269">
        <v>34100000</v>
      </c>
      <c r="B39" s="269">
        <v>341.25</v>
      </c>
      <c r="C39" s="270" t="s">
        <v>184</v>
      </c>
      <c r="D39" s="270" t="s">
        <v>190</v>
      </c>
      <c r="E39" s="270">
        <v>1</v>
      </c>
      <c r="F39" s="270" t="s">
        <v>186</v>
      </c>
      <c r="G39" s="270" t="s">
        <v>187</v>
      </c>
      <c r="H39" s="270"/>
      <c r="I39" s="270"/>
      <c r="J39" s="270"/>
      <c r="K39" s="271"/>
      <c r="L39" s="271"/>
    </row>
    <row r="40" spans="1:12" ht="24.75" customHeight="1">
      <c r="A40" s="269">
        <v>34900000</v>
      </c>
      <c r="B40" s="269">
        <v>1052</v>
      </c>
      <c r="C40" s="270" t="s">
        <v>184</v>
      </c>
      <c r="D40" s="270" t="s">
        <v>188</v>
      </c>
      <c r="E40" s="270">
        <v>1</v>
      </c>
      <c r="F40" s="270" t="s">
        <v>186</v>
      </c>
      <c r="G40" s="270" t="s">
        <v>187</v>
      </c>
      <c r="H40" s="270"/>
      <c r="I40" s="270"/>
      <c r="J40" s="270"/>
      <c r="K40" s="271"/>
      <c r="L40" s="271"/>
    </row>
    <row r="41" spans="1:12" ht="24.75" customHeight="1">
      <c r="A41" s="269">
        <v>34900000</v>
      </c>
      <c r="B41" s="269">
        <v>3947</v>
      </c>
      <c r="C41" s="270" t="s">
        <v>184</v>
      </c>
      <c r="D41" s="270" t="s">
        <v>194</v>
      </c>
      <c r="E41" s="270">
        <v>1</v>
      </c>
      <c r="F41" s="270" t="s">
        <v>186</v>
      </c>
      <c r="G41" s="270" t="s">
        <v>187</v>
      </c>
      <c r="H41" s="270"/>
      <c r="I41" s="270"/>
      <c r="J41" s="270"/>
      <c r="K41" s="271"/>
      <c r="L41" s="271"/>
    </row>
    <row r="42" spans="1:12" ht="24.75" customHeight="1">
      <c r="A42" s="269">
        <v>35100000</v>
      </c>
      <c r="B42" s="269">
        <v>390</v>
      </c>
      <c r="C42" s="270" t="s">
        <v>184</v>
      </c>
      <c r="D42" s="270" t="s">
        <v>188</v>
      </c>
      <c r="E42" s="270">
        <v>1</v>
      </c>
      <c r="F42" s="270" t="s">
        <v>186</v>
      </c>
      <c r="G42" s="270" t="s">
        <v>187</v>
      </c>
      <c r="H42" s="270"/>
      <c r="I42" s="270"/>
      <c r="J42" s="270"/>
      <c r="K42" s="271"/>
      <c r="L42" s="271"/>
    </row>
    <row r="43" spans="1:12" ht="24.75" customHeight="1">
      <c r="A43" s="269">
        <v>37500000</v>
      </c>
      <c r="B43" s="269">
        <v>174</v>
      </c>
      <c r="C43" s="270" t="s">
        <v>184</v>
      </c>
      <c r="D43" s="270" t="s">
        <v>190</v>
      </c>
      <c r="E43" s="270">
        <v>1</v>
      </c>
      <c r="F43" s="270" t="s">
        <v>186</v>
      </c>
      <c r="G43" s="270" t="s">
        <v>187</v>
      </c>
      <c r="H43" s="270"/>
      <c r="I43" s="270"/>
      <c r="J43" s="270"/>
      <c r="K43" s="271"/>
      <c r="L43" s="271"/>
    </row>
    <row r="44" spans="1:12" ht="24.75" customHeight="1">
      <c r="A44" s="269">
        <v>37800000</v>
      </c>
      <c r="B44" s="269">
        <v>400</v>
      </c>
      <c r="C44" s="270" t="s">
        <v>184</v>
      </c>
      <c r="D44" s="270" t="s">
        <v>194</v>
      </c>
      <c r="E44" s="270">
        <v>1</v>
      </c>
      <c r="F44" s="270" t="s">
        <v>186</v>
      </c>
      <c r="G44" s="270" t="s">
        <v>187</v>
      </c>
      <c r="H44" s="270"/>
      <c r="I44" s="270"/>
      <c r="J44" s="270"/>
      <c r="K44" s="271"/>
      <c r="L44" s="271"/>
    </row>
    <row r="45" spans="1:12" ht="24.75" customHeight="1">
      <c r="A45" s="269">
        <v>39100000</v>
      </c>
      <c r="B45" s="269">
        <v>1930</v>
      </c>
      <c r="C45" s="270" t="s">
        <v>184</v>
      </c>
      <c r="D45" s="270" t="s">
        <v>194</v>
      </c>
      <c r="E45" s="270">
        <v>1</v>
      </c>
      <c r="F45" s="270" t="s">
        <v>186</v>
      </c>
      <c r="G45" s="270" t="s">
        <v>187</v>
      </c>
      <c r="H45" s="270"/>
      <c r="I45" s="270"/>
      <c r="J45" s="270"/>
      <c r="K45" s="271"/>
      <c r="L45" s="271"/>
    </row>
    <row r="46" spans="1:12" ht="24.75" customHeight="1">
      <c r="A46" s="269">
        <v>39200000</v>
      </c>
      <c r="B46" s="269">
        <v>730</v>
      </c>
      <c r="C46" s="270" t="s">
        <v>184</v>
      </c>
      <c r="D46" s="270" t="s">
        <v>188</v>
      </c>
      <c r="E46" s="270">
        <v>1</v>
      </c>
      <c r="F46" s="270" t="s">
        <v>186</v>
      </c>
      <c r="G46" s="270" t="s">
        <v>187</v>
      </c>
      <c r="H46" s="270"/>
      <c r="I46" s="270"/>
      <c r="J46" s="270"/>
      <c r="K46" s="271"/>
      <c r="L46" s="271"/>
    </row>
    <row r="47" spans="1:12" ht="24.75" customHeight="1">
      <c r="A47" s="269">
        <v>39200000</v>
      </c>
      <c r="B47" s="269">
        <v>1270.06</v>
      </c>
      <c r="C47" s="270" t="s">
        <v>184</v>
      </c>
      <c r="D47" s="270" t="s">
        <v>194</v>
      </c>
      <c r="E47" s="270">
        <v>1</v>
      </c>
      <c r="F47" s="270" t="s">
        <v>186</v>
      </c>
      <c r="G47" s="270" t="s">
        <v>187</v>
      </c>
      <c r="H47" s="270"/>
      <c r="I47" s="270"/>
      <c r="J47" s="270"/>
      <c r="K47" s="271"/>
      <c r="L47" s="271"/>
    </row>
    <row r="48" spans="1:12" ht="24.75" customHeight="1">
      <c r="A48" s="269">
        <v>39200000</v>
      </c>
      <c r="B48" s="269">
        <v>1040</v>
      </c>
      <c r="C48" s="270" t="s">
        <v>184</v>
      </c>
      <c r="D48" s="270" t="s">
        <v>188</v>
      </c>
      <c r="E48" s="270">
        <v>1</v>
      </c>
      <c r="F48" s="270" t="s">
        <v>186</v>
      </c>
      <c r="G48" s="270" t="s">
        <v>187</v>
      </c>
      <c r="H48" s="270"/>
      <c r="I48" s="270"/>
      <c r="J48" s="270"/>
      <c r="K48" s="271"/>
      <c r="L48" s="271"/>
    </row>
    <row r="49" spans="1:12" ht="24.75" customHeight="1">
      <c r="A49" s="269">
        <v>39200000</v>
      </c>
      <c r="B49" s="269">
        <v>1871.9</v>
      </c>
      <c r="C49" s="270" t="s">
        <v>184</v>
      </c>
      <c r="D49" s="270" t="s">
        <v>188</v>
      </c>
      <c r="E49" s="270">
        <v>1</v>
      </c>
      <c r="F49" s="270" t="s">
        <v>186</v>
      </c>
      <c r="G49" s="270" t="s">
        <v>187</v>
      </c>
      <c r="H49" s="270"/>
      <c r="I49" s="270"/>
      <c r="J49" s="270"/>
      <c r="K49" s="271"/>
      <c r="L49" s="271"/>
    </row>
    <row r="50" spans="1:12" ht="24.75" customHeight="1">
      <c r="A50" s="269">
        <v>39300000</v>
      </c>
      <c r="B50" s="269">
        <v>614</v>
      </c>
      <c r="C50" s="270" t="s">
        <v>184</v>
      </c>
      <c r="D50" s="270" t="s">
        <v>188</v>
      </c>
      <c r="E50" s="270">
        <v>1</v>
      </c>
      <c r="F50" s="270" t="s">
        <v>186</v>
      </c>
      <c r="G50" s="270" t="s">
        <v>187</v>
      </c>
      <c r="H50" s="270"/>
      <c r="I50" s="270"/>
      <c r="J50" s="270"/>
      <c r="K50" s="271"/>
      <c r="L50" s="271"/>
    </row>
    <row r="51" spans="1:12" ht="24.75" customHeight="1">
      <c r="A51" s="269">
        <v>39500000</v>
      </c>
      <c r="B51" s="269">
        <v>975</v>
      </c>
      <c r="C51" s="270" t="s">
        <v>184</v>
      </c>
      <c r="D51" s="270" t="s">
        <v>188</v>
      </c>
      <c r="E51" s="270">
        <v>1</v>
      </c>
      <c r="F51" s="270" t="s">
        <v>186</v>
      </c>
      <c r="G51" s="270" t="s">
        <v>187</v>
      </c>
      <c r="H51" s="270"/>
      <c r="I51" s="270"/>
      <c r="J51" s="270"/>
      <c r="K51" s="271"/>
      <c r="L51" s="271"/>
    </row>
    <row r="52" spans="1:12" ht="24.75" customHeight="1">
      <c r="A52" s="269">
        <v>39800000</v>
      </c>
      <c r="B52" s="269">
        <v>3887.5</v>
      </c>
      <c r="C52" s="270" t="s">
        <v>184</v>
      </c>
      <c r="D52" s="270" t="s">
        <v>188</v>
      </c>
      <c r="E52" s="270">
        <v>1</v>
      </c>
      <c r="F52" s="270" t="s">
        <v>186</v>
      </c>
      <c r="G52" s="270" t="s">
        <v>187</v>
      </c>
      <c r="H52" s="270"/>
      <c r="I52" s="270"/>
      <c r="J52" s="270"/>
      <c r="K52" s="271"/>
      <c r="L52" s="271"/>
    </row>
    <row r="53" spans="1:12" ht="24.75" customHeight="1">
      <c r="A53" s="269">
        <v>41100000</v>
      </c>
      <c r="B53" s="269">
        <v>2450</v>
      </c>
      <c r="C53" s="270" t="s">
        <v>184</v>
      </c>
      <c r="D53" s="270" t="s">
        <v>192</v>
      </c>
      <c r="E53" s="270">
        <v>1</v>
      </c>
      <c r="F53" s="270" t="s">
        <v>186</v>
      </c>
      <c r="G53" s="270" t="s">
        <v>187</v>
      </c>
      <c r="H53" s="270"/>
      <c r="I53" s="270"/>
      <c r="J53" s="270"/>
      <c r="K53" s="271"/>
      <c r="L53" s="271"/>
    </row>
    <row r="54" spans="1:12" ht="24.75" customHeight="1">
      <c r="A54" s="269">
        <v>41100000</v>
      </c>
      <c r="B54" s="269">
        <v>1251</v>
      </c>
      <c r="C54" s="270" t="s">
        <v>184</v>
      </c>
      <c r="D54" s="270" t="s">
        <v>191</v>
      </c>
      <c r="E54" s="270">
        <v>1</v>
      </c>
      <c r="F54" s="270" t="s">
        <v>186</v>
      </c>
      <c r="G54" s="270" t="s">
        <v>187</v>
      </c>
      <c r="H54" s="270"/>
      <c r="I54" s="270"/>
      <c r="J54" s="270"/>
      <c r="K54" s="271"/>
      <c r="L54" s="271"/>
    </row>
    <row r="55" spans="1:12" ht="24.75" customHeight="1">
      <c r="A55" s="269">
        <v>41100000</v>
      </c>
      <c r="B55" s="269">
        <v>1249.5</v>
      </c>
      <c r="C55" s="270" t="s">
        <v>184</v>
      </c>
      <c r="D55" s="270" t="s">
        <v>190</v>
      </c>
      <c r="E55" s="270">
        <v>1</v>
      </c>
      <c r="F55" s="270" t="s">
        <v>186</v>
      </c>
      <c r="G55" s="270" t="s">
        <v>187</v>
      </c>
      <c r="H55" s="270"/>
      <c r="I55" s="270"/>
      <c r="J55" s="270"/>
      <c r="K55" s="271"/>
      <c r="L55" s="271"/>
    </row>
    <row r="56" spans="1:12" ht="24.75" customHeight="1">
      <c r="A56" s="269">
        <v>42900000</v>
      </c>
      <c r="B56" s="269">
        <v>3720</v>
      </c>
      <c r="C56" s="270" t="s">
        <v>184</v>
      </c>
      <c r="D56" s="270" t="s">
        <v>188</v>
      </c>
      <c r="E56" s="270">
        <v>1</v>
      </c>
      <c r="F56" s="270" t="s">
        <v>186</v>
      </c>
      <c r="G56" s="270" t="s">
        <v>187</v>
      </c>
      <c r="H56" s="270"/>
      <c r="I56" s="270"/>
      <c r="J56" s="270"/>
      <c r="K56" s="271"/>
      <c r="L56" s="271"/>
    </row>
    <row r="57" spans="1:12" ht="24.75" customHeight="1">
      <c r="A57" s="269">
        <v>44100000</v>
      </c>
      <c r="B57" s="269">
        <v>205</v>
      </c>
      <c r="C57" s="270" t="s">
        <v>184</v>
      </c>
      <c r="D57" s="270" t="s">
        <v>188</v>
      </c>
      <c r="E57" s="270">
        <v>1</v>
      </c>
      <c r="F57" s="270" t="s">
        <v>186</v>
      </c>
      <c r="G57" s="270" t="s">
        <v>187</v>
      </c>
      <c r="H57" s="270"/>
      <c r="I57" s="270"/>
      <c r="J57" s="270"/>
      <c r="K57" s="271"/>
      <c r="L57" s="271"/>
    </row>
    <row r="58" spans="1:12" ht="24.75" customHeight="1">
      <c r="A58" s="269">
        <v>44200000</v>
      </c>
      <c r="B58" s="269">
        <v>150</v>
      </c>
      <c r="C58" s="270" t="s">
        <v>184</v>
      </c>
      <c r="D58" s="270" t="s">
        <v>188</v>
      </c>
      <c r="E58" s="270">
        <v>1</v>
      </c>
      <c r="F58" s="270" t="s">
        <v>186</v>
      </c>
      <c r="G58" s="270" t="s">
        <v>187</v>
      </c>
      <c r="H58" s="270"/>
      <c r="I58" s="270"/>
      <c r="J58" s="270"/>
      <c r="K58" s="271"/>
      <c r="L58" s="271"/>
    </row>
    <row r="59" spans="1:12" ht="24.75" customHeight="1">
      <c r="A59" s="269">
        <v>44300000</v>
      </c>
      <c r="B59" s="269">
        <v>300</v>
      </c>
      <c r="C59" s="270" t="s">
        <v>184</v>
      </c>
      <c r="D59" s="270" t="s">
        <v>188</v>
      </c>
      <c r="E59" s="270">
        <v>1</v>
      </c>
      <c r="F59" s="270" t="s">
        <v>186</v>
      </c>
      <c r="G59" s="270" t="s">
        <v>187</v>
      </c>
      <c r="H59" s="270"/>
      <c r="I59" s="270"/>
      <c r="J59" s="270"/>
      <c r="K59" s="271"/>
      <c r="L59" s="271"/>
    </row>
    <row r="60" spans="1:12" ht="24.75" customHeight="1">
      <c r="A60" s="269">
        <v>44500000</v>
      </c>
      <c r="B60" s="269">
        <v>760</v>
      </c>
      <c r="C60" s="270" t="s">
        <v>184</v>
      </c>
      <c r="D60" s="270" t="s">
        <v>194</v>
      </c>
      <c r="E60" s="270">
        <v>1</v>
      </c>
      <c r="F60" s="270" t="s">
        <v>186</v>
      </c>
      <c r="G60" s="270" t="s">
        <v>187</v>
      </c>
      <c r="H60" s="270"/>
      <c r="I60" s="270"/>
      <c r="J60" s="270"/>
      <c r="K60" s="271"/>
      <c r="L60" s="271"/>
    </row>
    <row r="61" spans="1:12" ht="24.75" customHeight="1">
      <c r="A61" s="269">
        <v>44800000</v>
      </c>
      <c r="B61" s="269">
        <v>270</v>
      </c>
      <c r="C61" s="270" t="s">
        <v>184</v>
      </c>
      <c r="D61" s="270" t="s">
        <v>188</v>
      </c>
      <c r="E61" s="270">
        <v>1</v>
      </c>
      <c r="F61" s="270" t="s">
        <v>186</v>
      </c>
      <c r="G61" s="270" t="s">
        <v>187</v>
      </c>
      <c r="H61" s="270"/>
      <c r="I61" s="270"/>
      <c r="J61" s="270"/>
      <c r="K61" s="271"/>
      <c r="L61" s="271"/>
    </row>
    <row r="62" spans="1:12" ht="24.75" customHeight="1">
      <c r="A62" s="269">
        <v>45200000</v>
      </c>
      <c r="B62" s="269">
        <v>1940</v>
      </c>
      <c r="C62" s="270" t="s">
        <v>184</v>
      </c>
      <c r="D62" s="270" t="s">
        <v>188</v>
      </c>
      <c r="E62" s="270">
        <v>1</v>
      </c>
      <c r="F62" s="270" t="s">
        <v>186</v>
      </c>
      <c r="G62" s="270" t="s">
        <v>187</v>
      </c>
      <c r="H62" s="270"/>
      <c r="I62" s="270"/>
      <c r="J62" s="270"/>
      <c r="K62" s="271"/>
      <c r="L62" s="271"/>
    </row>
    <row r="63" spans="1:12" ht="24.75" customHeight="1">
      <c r="A63" s="269">
        <v>50100000</v>
      </c>
      <c r="B63" s="269">
        <v>1917.81</v>
      </c>
      <c r="C63" s="270" t="s">
        <v>184</v>
      </c>
      <c r="D63" s="270" t="s">
        <v>185</v>
      </c>
      <c r="E63" s="270">
        <v>1</v>
      </c>
      <c r="F63" s="270" t="s">
        <v>196</v>
      </c>
      <c r="G63" s="270" t="s">
        <v>187</v>
      </c>
      <c r="H63" s="270"/>
      <c r="I63" s="270"/>
      <c r="J63" s="270"/>
      <c r="K63" s="271"/>
      <c r="L63" s="271"/>
    </row>
    <row r="64" spans="1:12" ht="24.75" customHeight="1">
      <c r="A64" s="269">
        <v>50100000</v>
      </c>
      <c r="B64" s="272">
        <v>1917.81</v>
      </c>
      <c r="C64" s="270" t="s">
        <v>184</v>
      </c>
      <c r="D64" s="270" t="s">
        <v>190</v>
      </c>
      <c r="E64" s="270">
        <v>1</v>
      </c>
      <c r="F64" s="270" t="s">
        <v>186</v>
      </c>
      <c r="G64" s="270" t="s">
        <v>187</v>
      </c>
      <c r="H64" s="270"/>
      <c r="I64" s="270"/>
      <c r="J64" s="270"/>
      <c r="K64" s="271"/>
      <c r="L64" s="271"/>
    </row>
    <row r="65" spans="1:12" ht="24.75" customHeight="1">
      <c r="A65" s="269">
        <v>50300000</v>
      </c>
      <c r="B65" s="269">
        <v>420</v>
      </c>
      <c r="C65" s="270" t="s">
        <v>184</v>
      </c>
      <c r="D65" s="270" t="s">
        <v>191</v>
      </c>
      <c r="E65" s="270">
        <v>1</v>
      </c>
      <c r="F65" s="270" t="s">
        <v>186</v>
      </c>
      <c r="G65" s="270" t="s">
        <v>187</v>
      </c>
      <c r="H65" s="270"/>
      <c r="I65" s="270"/>
      <c r="J65" s="270"/>
      <c r="K65" s="271"/>
      <c r="L65" s="271"/>
    </row>
    <row r="66" spans="1:12" ht="24.75" customHeight="1">
      <c r="A66" s="269">
        <v>50300000</v>
      </c>
      <c r="B66" s="269">
        <v>50</v>
      </c>
      <c r="C66" s="270" t="s">
        <v>184</v>
      </c>
      <c r="D66" s="270" t="s">
        <v>190</v>
      </c>
      <c r="E66" s="270">
        <v>1</v>
      </c>
      <c r="F66" s="270" t="s">
        <v>186</v>
      </c>
      <c r="G66" s="270" t="s">
        <v>187</v>
      </c>
      <c r="H66" s="270"/>
      <c r="I66" s="270"/>
      <c r="J66" s="270"/>
      <c r="K66" s="271"/>
      <c r="L66" s="271"/>
    </row>
    <row r="67" spans="1:12" ht="24.75" customHeight="1">
      <c r="A67" s="269">
        <v>50300000</v>
      </c>
      <c r="B67" s="269">
        <v>1100</v>
      </c>
      <c r="C67" s="270" t="s">
        <v>184</v>
      </c>
      <c r="D67" s="270" t="s">
        <v>191</v>
      </c>
      <c r="E67" s="270">
        <v>1</v>
      </c>
      <c r="F67" s="270" t="s">
        <v>186</v>
      </c>
      <c r="G67" s="270" t="s">
        <v>187</v>
      </c>
      <c r="H67" s="270"/>
      <c r="I67" s="270"/>
      <c r="J67" s="270"/>
      <c r="K67" s="271"/>
      <c r="L67" s="271"/>
    </row>
    <row r="68" spans="1:12" ht="24.75" customHeight="1">
      <c r="A68" s="269">
        <v>50300000</v>
      </c>
      <c r="B68" s="269">
        <v>165</v>
      </c>
      <c r="C68" s="270" t="s">
        <v>184</v>
      </c>
      <c r="D68" s="270" t="s">
        <v>185</v>
      </c>
      <c r="E68" s="270">
        <v>1</v>
      </c>
      <c r="F68" s="270" t="s">
        <v>186</v>
      </c>
      <c r="G68" s="270" t="s">
        <v>187</v>
      </c>
      <c r="H68" s="270"/>
      <c r="I68" s="270"/>
      <c r="J68" s="270"/>
      <c r="K68" s="271"/>
      <c r="L68" s="271"/>
    </row>
    <row r="69" spans="1:12" ht="24.75" customHeight="1">
      <c r="A69" s="269">
        <v>50300000</v>
      </c>
      <c r="B69" s="269">
        <v>818</v>
      </c>
      <c r="C69" s="270" t="s">
        <v>184</v>
      </c>
      <c r="D69" s="270" t="s">
        <v>188</v>
      </c>
      <c r="E69" s="270">
        <v>1</v>
      </c>
      <c r="F69" s="270" t="s">
        <v>186</v>
      </c>
      <c r="G69" s="270" t="s">
        <v>187</v>
      </c>
      <c r="H69" s="270"/>
      <c r="I69" s="270"/>
      <c r="J69" s="270"/>
      <c r="K69" s="271"/>
      <c r="L69" s="271"/>
    </row>
    <row r="70" spans="1:12" ht="24.75" customHeight="1">
      <c r="A70" s="269">
        <v>50300000</v>
      </c>
      <c r="B70" s="272">
        <v>1970</v>
      </c>
      <c r="C70" s="270" t="s">
        <v>184</v>
      </c>
      <c r="D70" s="270" t="s">
        <v>185</v>
      </c>
      <c r="E70" s="270">
        <v>1</v>
      </c>
      <c r="F70" s="270" t="s">
        <v>186</v>
      </c>
      <c r="G70" s="270" t="s">
        <v>187</v>
      </c>
      <c r="H70" s="270"/>
      <c r="I70" s="270"/>
      <c r="J70" s="270"/>
      <c r="K70" s="271"/>
      <c r="L70" s="271"/>
    </row>
    <row r="71" spans="1:12" ht="24.75" customHeight="1">
      <c r="A71" s="269">
        <v>50400000</v>
      </c>
      <c r="B71" s="269">
        <v>6480</v>
      </c>
      <c r="C71" s="270" t="s">
        <v>197</v>
      </c>
      <c r="D71" s="270" t="s">
        <v>191</v>
      </c>
      <c r="E71" s="270">
        <v>1</v>
      </c>
      <c r="F71" s="270" t="s">
        <v>186</v>
      </c>
      <c r="G71" s="270" t="s">
        <v>187</v>
      </c>
      <c r="H71" s="270"/>
      <c r="I71" s="270"/>
      <c r="J71" s="270"/>
      <c r="K71" s="271"/>
      <c r="L71" s="271"/>
    </row>
    <row r="72" spans="1:12" ht="24.75" customHeight="1">
      <c r="A72" s="269">
        <v>55300000</v>
      </c>
      <c r="B72" s="269">
        <v>24750</v>
      </c>
      <c r="C72" s="270" t="s">
        <v>197</v>
      </c>
      <c r="D72" s="270" t="s">
        <v>185</v>
      </c>
      <c r="E72" s="270">
        <v>1</v>
      </c>
      <c r="F72" s="270" t="s">
        <v>186</v>
      </c>
      <c r="G72" s="270" t="s">
        <v>187</v>
      </c>
      <c r="H72" s="270"/>
      <c r="I72" s="270"/>
      <c r="J72" s="270"/>
      <c r="K72" s="271"/>
      <c r="L72" s="271" t="s">
        <v>198</v>
      </c>
    </row>
    <row r="73" spans="1:12" ht="24.75" customHeight="1">
      <c r="A73" s="269">
        <v>55300000</v>
      </c>
      <c r="B73" s="269">
        <v>293</v>
      </c>
      <c r="C73" s="270" t="s">
        <v>184</v>
      </c>
      <c r="D73" s="270" t="s">
        <v>188</v>
      </c>
      <c r="E73" s="270">
        <v>1</v>
      </c>
      <c r="F73" s="270" t="s">
        <v>193</v>
      </c>
      <c r="G73" s="270" t="s">
        <v>187</v>
      </c>
      <c r="H73" s="270"/>
      <c r="I73" s="270"/>
      <c r="J73" s="270"/>
      <c r="K73" s="271"/>
      <c r="L73" s="271"/>
    </row>
    <row r="74" spans="1:12" ht="24.75" customHeight="1">
      <c r="A74" s="269">
        <v>55300000</v>
      </c>
      <c r="B74" s="269">
        <v>5941</v>
      </c>
      <c r="C74" s="270" t="s">
        <v>184</v>
      </c>
      <c r="D74" s="270" t="s">
        <v>185</v>
      </c>
      <c r="E74" s="270">
        <v>1</v>
      </c>
      <c r="F74" s="270" t="s">
        <v>193</v>
      </c>
      <c r="G74" s="270" t="s">
        <v>187</v>
      </c>
      <c r="H74" s="270"/>
      <c r="I74" s="270"/>
      <c r="J74" s="270"/>
      <c r="K74" s="271"/>
      <c r="L74" s="271" t="s">
        <v>198</v>
      </c>
    </row>
    <row r="75" spans="1:12" ht="24.75" customHeight="1">
      <c r="A75" s="269">
        <v>55300000</v>
      </c>
      <c r="B75" s="269">
        <v>1469.5</v>
      </c>
      <c r="C75" s="270" t="s">
        <v>184</v>
      </c>
      <c r="D75" s="270" t="s">
        <v>190</v>
      </c>
      <c r="E75" s="270">
        <v>1</v>
      </c>
      <c r="F75" s="270" t="s">
        <v>193</v>
      </c>
      <c r="G75" s="270" t="s">
        <v>187</v>
      </c>
      <c r="H75" s="270"/>
      <c r="I75" s="270"/>
      <c r="J75" s="270"/>
      <c r="K75" s="271"/>
      <c r="L75" s="271"/>
    </row>
    <row r="76" spans="1:12" ht="24.75" customHeight="1">
      <c r="A76" s="269">
        <v>55500000</v>
      </c>
      <c r="B76" s="269">
        <v>3236.4</v>
      </c>
      <c r="C76" s="270" t="s">
        <v>184</v>
      </c>
      <c r="D76" s="270" t="s">
        <v>185</v>
      </c>
      <c r="E76" s="270">
        <v>1</v>
      </c>
      <c r="F76" s="270" t="s">
        <v>193</v>
      </c>
      <c r="G76" s="270" t="s">
        <v>187</v>
      </c>
      <c r="H76" s="270"/>
      <c r="I76" s="270"/>
      <c r="J76" s="270"/>
      <c r="K76" s="271"/>
      <c r="L76" s="271" t="s">
        <v>198</v>
      </c>
    </row>
    <row r="77" spans="1:12" ht="24.75" customHeight="1">
      <c r="A77" s="269">
        <v>60100000</v>
      </c>
      <c r="B77" s="269">
        <v>1800</v>
      </c>
      <c r="C77" s="270" t="s">
        <v>184</v>
      </c>
      <c r="D77" s="270" t="s">
        <v>188</v>
      </c>
      <c r="E77" s="270">
        <v>1</v>
      </c>
      <c r="F77" s="270" t="s">
        <v>186</v>
      </c>
      <c r="G77" s="270" t="s">
        <v>187</v>
      </c>
      <c r="H77" s="270"/>
      <c r="I77" s="270"/>
      <c r="J77" s="270"/>
      <c r="K77" s="271"/>
      <c r="L77" s="271" t="s">
        <v>198</v>
      </c>
    </row>
    <row r="78" spans="1:12" ht="24.75" customHeight="1">
      <c r="A78" s="269">
        <v>63500000</v>
      </c>
      <c r="B78" s="269">
        <v>4954</v>
      </c>
      <c r="C78" s="270" t="s">
        <v>184</v>
      </c>
      <c r="D78" s="270" t="s">
        <v>189</v>
      </c>
      <c r="E78" s="270">
        <v>1</v>
      </c>
      <c r="F78" s="270" t="s">
        <v>186</v>
      </c>
      <c r="G78" s="270" t="s">
        <v>187</v>
      </c>
      <c r="H78" s="270"/>
      <c r="I78" s="270"/>
      <c r="J78" s="270"/>
      <c r="K78" s="271"/>
      <c r="L78" s="271"/>
    </row>
    <row r="79" spans="1:12" ht="24.75" customHeight="1">
      <c r="A79" s="269">
        <v>64100000</v>
      </c>
      <c r="B79" s="269">
        <v>1000</v>
      </c>
      <c r="C79" s="270" t="s">
        <v>184</v>
      </c>
      <c r="D79" s="270" t="s">
        <v>185</v>
      </c>
      <c r="E79" s="270">
        <v>1</v>
      </c>
      <c r="F79" s="270" t="s">
        <v>186</v>
      </c>
      <c r="G79" s="270" t="s">
        <v>187</v>
      </c>
      <c r="H79" s="270"/>
      <c r="I79" s="270"/>
      <c r="J79" s="270"/>
      <c r="K79" s="271"/>
      <c r="L79" s="271"/>
    </row>
    <row r="80" spans="1:12" ht="24.75" customHeight="1">
      <c r="A80" s="269">
        <v>64200000</v>
      </c>
      <c r="B80" s="269">
        <v>12000</v>
      </c>
      <c r="C80" s="270" t="s">
        <v>195</v>
      </c>
      <c r="D80" s="270" t="s">
        <v>185</v>
      </c>
      <c r="E80" s="270">
        <v>2</v>
      </c>
      <c r="F80" s="270"/>
      <c r="G80" s="270" t="s">
        <v>187</v>
      </c>
      <c r="H80" s="270"/>
      <c r="I80" s="270"/>
      <c r="J80" s="270"/>
      <c r="K80" s="271"/>
      <c r="L80" s="271"/>
    </row>
    <row r="81" spans="1:12" ht="24.75" customHeight="1">
      <c r="A81" s="269">
        <v>64200000</v>
      </c>
      <c r="B81" s="269">
        <v>40</v>
      </c>
      <c r="C81" s="270" t="s">
        <v>184</v>
      </c>
      <c r="D81" s="270" t="s">
        <v>190</v>
      </c>
      <c r="E81" s="270">
        <v>1</v>
      </c>
      <c r="F81" s="270" t="s">
        <v>199</v>
      </c>
      <c r="G81" s="270" t="s">
        <v>187</v>
      </c>
      <c r="H81" s="270"/>
      <c r="I81" s="270"/>
      <c r="J81" s="270"/>
      <c r="K81" s="271"/>
      <c r="L81" s="271"/>
    </row>
    <row r="82" spans="1:12" ht="24.75" customHeight="1">
      <c r="A82" s="269">
        <v>64200000</v>
      </c>
      <c r="B82" s="269">
        <v>128</v>
      </c>
      <c r="C82" s="270" t="s">
        <v>200</v>
      </c>
      <c r="D82" s="270" t="s">
        <v>185</v>
      </c>
      <c r="E82" s="270">
        <v>1</v>
      </c>
      <c r="F82" s="270"/>
      <c r="G82" s="270" t="s">
        <v>187</v>
      </c>
      <c r="H82" s="270"/>
      <c r="I82" s="270"/>
      <c r="J82" s="270"/>
      <c r="K82" s="271" t="s">
        <v>201</v>
      </c>
      <c r="L82" s="271"/>
    </row>
    <row r="83" spans="1:12" ht="24.75" customHeight="1">
      <c r="A83" s="269">
        <v>64200000</v>
      </c>
      <c r="B83" s="269">
        <v>6000</v>
      </c>
      <c r="C83" s="270" t="s">
        <v>184</v>
      </c>
      <c r="D83" s="270" t="s">
        <v>185</v>
      </c>
      <c r="E83" s="270">
        <v>1</v>
      </c>
      <c r="F83" s="270" t="s">
        <v>196</v>
      </c>
      <c r="G83" s="270" t="s">
        <v>187</v>
      </c>
      <c r="H83" s="270"/>
      <c r="I83" s="270"/>
      <c r="J83" s="270"/>
      <c r="K83" s="271"/>
      <c r="L83" s="271"/>
    </row>
    <row r="84" spans="1:12" ht="24.75" customHeight="1">
      <c r="A84" s="269">
        <v>66500000</v>
      </c>
      <c r="B84" s="269">
        <v>1292.56</v>
      </c>
      <c r="C84" s="270" t="s">
        <v>184</v>
      </c>
      <c r="D84" s="270" t="s">
        <v>185</v>
      </c>
      <c r="E84" s="270">
        <v>1</v>
      </c>
      <c r="F84" s="270" t="s">
        <v>186</v>
      </c>
      <c r="G84" s="270" t="s">
        <v>187</v>
      </c>
      <c r="H84" s="270"/>
      <c r="I84" s="270"/>
      <c r="J84" s="270"/>
      <c r="K84" s="271"/>
      <c r="L84" s="271"/>
    </row>
    <row r="85" spans="1:12" ht="24.75" customHeight="1">
      <c r="A85" s="269">
        <v>71300000</v>
      </c>
      <c r="B85" s="269">
        <v>150</v>
      </c>
      <c r="C85" s="270" t="s">
        <v>184</v>
      </c>
      <c r="D85" s="270" t="s">
        <v>191</v>
      </c>
      <c r="E85" s="270">
        <v>1</v>
      </c>
      <c r="F85" s="270" t="s">
        <v>186</v>
      </c>
      <c r="G85" s="270" t="s">
        <v>187</v>
      </c>
      <c r="H85" s="270"/>
      <c r="I85" s="270"/>
      <c r="J85" s="270"/>
      <c r="K85" s="271"/>
      <c r="L85" s="271"/>
    </row>
    <row r="86" spans="1:12" ht="24.75" customHeight="1">
      <c r="A86" s="269">
        <v>71300000</v>
      </c>
      <c r="B86" s="269">
        <v>900</v>
      </c>
      <c r="C86" s="270" t="s">
        <v>184</v>
      </c>
      <c r="D86" s="270" t="s">
        <v>185</v>
      </c>
      <c r="E86" s="270">
        <v>1</v>
      </c>
      <c r="F86" s="270" t="s">
        <v>186</v>
      </c>
      <c r="G86" s="270" t="s">
        <v>187</v>
      </c>
      <c r="H86" s="270"/>
      <c r="I86" s="270"/>
      <c r="J86" s="270"/>
      <c r="K86" s="271"/>
      <c r="L86" s="271"/>
    </row>
    <row r="87" spans="1:12" ht="24.75" customHeight="1">
      <c r="A87" s="269">
        <v>71300000</v>
      </c>
      <c r="B87" s="269">
        <v>150</v>
      </c>
      <c r="C87" s="270" t="s">
        <v>184</v>
      </c>
      <c r="D87" s="270" t="s">
        <v>190</v>
      </c>
      <c r="E87" s="270">
        <v>1</v>
      </c>
      <c r="F87" s="270" t="s">
        <v>186</v>
      </c>
      <c r="G87" s="270" t="s">
        <v>187</v>
      </c>
      <c r="H87" s="270"/>
      <c r="I87" s="270"/>
      <c r="J87" s="270"/>
      <c r="K87" s="271"/>
      <c r="L87" s="271"/>
    </row>
    <row r="88" spans="1:12" ht="24.75" customHeight="1">
      <c r="A88" s="269">
        <v>72200000</v>
      </c>
      <c r="B88" s="269">
        <v>4892.5</v>
      </c>
      <c r="C88" s="270" t="s">
        <v>184</v>
      </c>
      <c r="D88" s="270" t="s">
        <v>185</v>
      </c>
      <c r="E88" s="270">
        <v>1</v>
      </c>
      <c r="F88" s="270" t="s">
        <v>186</v>
      </c>
      <c r="G88" s="270" t="s">
        <v>187</v>
      </c>
      <c r="H88" s="270"/>
      <c r="I88" s="270"/>
      <c r="J88" s="270"/>
      <c r="K88" s="271"/>
      <c r="L88" s="271"/>
    </row>
    <row r="89" spans="1:12" ht="24.75" customHeight="1">
      <c r="A89" s="269">
        <v>72300000</v>
      </c>
      <c r="B89" s="269">
        <v>288</v>
      </c>
      <c r="C89" s="270" t="s">
        <v>184</v>
      </c>
      <c r="D89" s="270" t="s">
        <v>188</v>
      </c>
      <c r="E89" s="270">
        <v>1</v>
      </c>
      <c r="F89" s="270" t="s">
        <v>199</v>
      </c>
      <c r="G89" s="270" t="s">
        <v>187</v>
      </c>
      <c r="H89" s="270"/>
      <c r="I89" s="270"/>
      <c r="J89" s="270"/>
      <c r="K89" s="271"/>
      <c r="L89" s="271"/>
    </row>
    <row r="90" spans="1:12" ht="24.75" customHeight="1">
      <c r="A90" s="269">
        <v>72400000</v>
      </c>
      <c r="B90" s="269">
        <v>4998</v>
      </c>
      <c r="C90" s="270" t="s">
        <v>184</v>
      </c>
      <c r="D90" s="270" t="s">
        <v>185</v>
      </c>
      <c r="E90" s="270">
        <v>1</v>
      </c>
      <c r="F90" s="270" t="s">
        <v>186</v>
      </c>
      <c r="G90" s="270" t="s">
        <v>187</v>
      </c>
      <c r="H90" s="270"/>
      <c r="I90" s="270"/>
      <c r="J90" s="270"/>
      <c r="K90" s="271"/>
      <c r="L90" s="271"/>
    </row>
    <row r="91" spans="1:12" ht="24.75" customHeight="1">
      <c r="A91" s="269">
        <v>75100000</v>
      </c>
      <c r="B91" s="272">
        <v>493</v>
      </c>
      <c r="C91" s="270" t="s">
        <v>184</v>
      </c>
      <c r="D91" s="270" t="s">
        <v>185</v>
      </c>
      <c r="E91" s="270">
        <v>1</v>
      </c>
      <c r="F91" s="270" t="s">
        <v>199</v>
      </c>
      <c r="G91" s="270" t="s">
        <v>187</v>
      </c>
      <c r="H91" s="270"/>
      <c r="I91" s="270"/>
      <c r="J91" s="270"/>
      <c r="K91" s="271"/>
      <c r="L91" s="271"/>
    </row>
    <row r="92" spans="1:12" ht="24.75" customHeight="1">
      <c r="A92" s="269">
        <v>75100000</v>
      </c>
      <c r="B92" s="269">
        <v>7</v>
      </c>
      <c r="C92" s="270" t="s">
        <v>184</v>
      </c>
      <c r="D92" s="270" t="s">
        <v>185</v>
      </c>
      <c r="E92" s="270">
        <v>1</v>
      </c>
      <c r="F92" s="270" t="s">
        <v>199</v>
      </c>
      <c r="G92" s="270" t="s">
        <v>187</v>
      </c>
      <c r="H92" s="270"/>
      <c r="I92" s="270"/>
      <c r="J92" s="270"/>
      <c r="K92" s="271"/>
      <c r="L92" s="271"/>
    </row>
    <row r="93" spans="1:12" ht="24.75" customHeight="1">
      <c r="A93" s="269">
        <v>79300000</v>
      </c>
      <c r="B93" s="269">
        <v>45000</v>
      </c>
      <c r="C93" s="270" t="s">
        <v>197</v>
      </c>
      <c r="D93" s="270" t="s">
        <v>185</v>
      </c>
      <c r="E93" s="270">
        <v>1</v>
      </c>
      <c r="F93" s="270" t="s">
        <v>186</v>
      </c>
      <c r="G93" s="270" t="s">
        <v>187</v>
      </c>
      <c r="H93" s="270"/>
      <c r="I93" s="270"/>
      <c r="J93" s="270"/>
      <c r="K93" s="271"/>
      <c r="L93" s="271" t="s">
        <v>198</v>
      </c>
    </row>
    <row r="94" spans="1:12" ht="24.75" customHeight="1">
      <c r="A94" s="269">
        <v>79400000</v>
      </c>
      <c r="B94" s="269">
        <v>2725</v>
      </c>
      <c r="C94" s="270" t="s">
        <v>184</v>
      </c>
      <c r="D94" s="270" t="s">
        <v>190</v>
      </c>
      <c r="E94" s="270">
        <v>1</v>
      </c>
      <c r="F94" s="270" t="s">
        <v>186</v>
      </c>
      <c r="G94" s="270" t="s">
        <v>187</v>
      </c>
      <c r="H94" s="270"/>
      <c r="I94" s="270"/>
      <c r="J94" s="270"/>
      <c r="K94" s="271"/>
      <c r="L94" s="271"/>
    </row>
    <row r="95" spans="1:12" ht="24.75" customHeight="1">
      <c r="A95" s="269">
        <v>79500000</v>
      </c>
      <c r="B95" s="269">
        <v>6801</v>
      </c>
      <c r="C95" s="270" t="s">
        <v>197</v>
      </c>
      <c r="D95" s="270" t="s">
        <v>191</v>
      </c>
      <c r="E95" s="270">
        <v>1</v>
      </c>
      <c r="F95" s="270" t="s">
        <v>186</v>
      </c>
      <c r="G95" s="270" t="s">
        <v>187</v>
      </c>
      <c r="H95" s="270"/>
      <c r="I95" s="270"/>
      <c r="J95" s="270"/>
      <c r="K95" s="271"/>
      <c r="L95" s="271"/>
    </row>
    <row r="96" spans="1:12" ht="24.75" customHeight="1">
      <c r="A96" s="269">
        <v>79600000</v>
      </c>
      <c r="B96" s="272">
        <v>2926</v>
      </c>
      <c r="C96" s="270" t="s">
        <v>184</v>
      </c>
      <c r="D96" s="270" t="s">
        <v>185</v>
      </c>
      <c r="E96" s="270">
        <v>1</v>
      </c>
      <c r="F96" s="270" t="s">
        <v>186</v>
      </c>
      <c r="G96" s="270" t="s">
        <v>187</v>
      </c>
      <c r="H96" s="270"/>
      <c r="I96" s="270"/>
      <c r="J96" s="270"/>
      <c r="K96" s="271"/>
      <c r="L96" s="271"/>
    </row>
    <row r="97" spans="1:12" ht="24.75" customHeight="1">
      <c r="A97" s="269">
        <v>79600000</v>
      </c>
      <c r="B97" s="272">
        <v>110</v>
      </c>
      <c r="C97" s="270" t="s">
        <v>184</v>
      </c>
      <c r="D97" s="270" t="s">
        <v>191</v>
      </c>
      <c r="E97" s="270">
        <v>1</v>
      </c>
      <c r="F97" s="270" t="s">
        <v>186</v>
      </c>
      <c r="G97" s="270" t="s">
        <v>187</v>
      </c>
      <c r="H97" s="270"/>
      <c r="I97" s="270"/>
      <c r="J97" s="270"/>
      <c r="K97" s="271"/>
      <c r="L97" s="271"/>
    </row>
    <row r="98" spans="1:12" ht="24.75" customHeight="1">
      <c r="A98" s="269">
        <v>79700000</v>
      </c>
      <c r="B98" s="269">
        <v>61200</v>
      </c>
      <c r="C98" s="270" t="s">
        <v>184</v>
      </c>
      <c r="D98" s="270" t="s">
        <v>185</v>
      </c>
      <c r="E98" s="270">
        <v>1</v>
      </c>
      <c r="F98" s="270" t="s">
        <v>202</v>
      </c>
      <c r="G98" s="270" t="s">
        <v>187</v>
      </c>
      <c r="H98" s="270"/>
      <c r="I98" s="270"/>
      <c r="J98" s="270"/>
      <c r="K98" s="271"/>
      <c r="L98" s="271"/>
    </row>
    <row r="99" spans="1:12" ht="24.75" customHeight="1">
      <c r="A99" s="269">
        <v>79800000</v>
      </c>
      <c r="B99" s="269">
        <v>24000</v>
      </c>
      <c r="C99" s="270" t="s">
        <v>197</v>
      </c>
      <c r="D99" s="270" t="s">
        <v>185</v>
      </c>
      <c r="E99" s="270">
        <v>1</v>
      </c>
      <c r="F99" s="270" t="s">
        <v>186</v>
      </c>
      <c r="G99" s="270" t="s">
        <v>187</v>
      </c>
      <c r="H99" s="270"/>
      <c r="I99" s="270"/>
      <c r="J99" s="270"/>
      <c r="K99" s="271"/>
      <c r="L99" s="271" t="s">
        <v>198</v>
      </c>
    </row>
    <row r="100" spans="1:12" ht="24.75" customHeight="1">
      <c r="A100" s="269">
        <v>79900000</v>
      </c>
      <c r="B100" s="269">
        <v>4920</v>
      </c>
      <c r="C100" s="270" t="s">
        <v>184</v>
      </c>
      <c r="D100" s="270" t="s">
        <v>185</v>
      </c>
      <c r="E100" s="270">
        <v>1</v>
      </c>
      <c r="F100" s="270" t="s">
        <v>193</v>
      </c>
      <c r="G100" s="270" t="s">
        <v>187</v>
      </c>
      <c r="H100" s="270"/>
      <c r="I100" s="270"/>
      <c r="J100" s="270"/>
      <c r="K100" s="271"/>
      <c r="L100" s="271" t="s">
        <v>198</v>
      </c>
    </row>
    <row r="101" spans="1:12" ht="24.75" customHeight="1">
      <c r="A101" s="269">
        <v>79900000</v>
      </c>
      <c r="B101" s="269">
        <v>743.4</v>
      </c>
      <c r="C101" s="270" t="s">
        <v>184</v>
      </c>
      <c r="D101" s="270" t="s">
        <v>188</v>
      </c>
      <c r="E101" s="270">
        <v>1</v>
      </c>
      <c r="F101" s="270" t="s">
        <v>193</v>
      </c>
      <c r="G101" s="270" t="s">
        <v>187</v>
      </c>
      <c r="H101" s="270"/>
      <c r="I101" s="270"/>
      <c r="J101" s="270"/>
      <c r="K101" s="271"/>
      <c r="L101" s="271" t="s">
        <v>198</v>
      </c>
    </row>
    <row r="102" spans="1:12" ht="24.75" customHeight="1">
      <c r="A102" s="269">
        <v>79900000</v>
      </c>
      <c r="B102" s="272">
        <v>743.4</v>
      </c>
      <c r="C102" s="270" t="s">
        <v>184</v>
      </c>
      <c r="D102" s="270" t="s">
        <v>191</v>
      </c>
      <c r="E102" s="270">
        <v>1</v>
      </c>
      <c r="F102" s="270" t="s">
        <v>186</v>
      </c>
      <c r="G102" s="270" t="s">
        <v>187</v>
      </c>
      <c r="H102" s="270"/>
      <c r="I102" s="270"/>
      <c r="J102" s="270"/>
      <c r="K102" s="271"/>
      <c r="L102" s="271"/>
    </row>
    <row r="103" spans="1:12" ht="24.75" customHeight="1">
      <c r="A103" s="269">
        <v>79900000</v>
      </c>
      <c r="B103" s="269">
        <v>3427.8</v>
      </c>
      <c r="C103" s="270" t="s">
        <v>184</v>
      </c>
      <c r="D103" s="270" t="s">
        <v>185</v>
      </c>
      <c r="E103" s="270">
        <v>1</v>
      </c>
      <c r="F103" s="270" t="s">
        <v>193</v>
      </c>
      <c r="G103" s="270" t="s">
        <v>187</v>
      </c>
      <c r="H103" s="270"/>
      <c r="I103" s="270"/>
      <c r="J103" s="270"/>
      <c r="K103" s="271"/>
      <c r="L103" s="271" t="s">
        <v>198</v>
      </c>
    </row>
    <row r="104" spans="1:12" ht="24.75" customHeight="1">
      <c r="A104" s="269">
        <v>80500000</v>
      </c>
      <c r="B104" s="269">
        <v>9050</v>
      </c>
      <c r="C104" s="270" t="s">
        <v>197</v>
      </c>
      <c r="D104" s="270" t="s">
        <v>185</v>
      </c>
      <c r="E104" s="270">
        <v>1</v>
      </c>
      <c r="F104" s="270" t="s">
        <v>186</v>
      </c>
      <c r="G104" s="270" t="s">
        <v>187</v>
      </c>
      <c r="H104" s="270"/>
      <c r="I104" s="270"/>
      <c r="J104" s="270"/>
      <c r="K104" s="271"/>
      <c r="L104" s="271"/>
    </row>
    <row r="105" spans="1:12" ht="24.75" customHeight="1">
      <c r="A105" s="269">
        <v>80500000</v>
      </c>
      <c r="B105" s="269">
        <v>13323.23</v>
      </c>
      <c r="C105" s="270" t="s">
        <v>184</v>
      </c>
      <c r="D105" s="270" t="s">
        <v>194</v>
      </c>
      <c r="E105" s="270">
        <v>2</v>
      </c>
      <c r="F105" s="270" t="s">
        <v>196</v>
      </c>
      <c r="G105" s="270" t="s">
        <v>187</v>
      </c>
      <c r="H105" s="270"/>
      <c r="I105" s="270"/>
      <c r="J105" s="270"/>
      <c r="K105" s="271"/>
      <c r="L105" s="271" t="s">
        <v>203</v>
      </c>
    </row>
    <row r="106" spans="1:12" ht="24.75" customHeight="1">
      <c r="A106" s="269">
        <v>90600000</v>
      </c>
      <c r="B106" s="269">
        <v>1000</v>
      </c>
      <c r="C106" s="270" t="s">
        <v>184</v>
      </c>
      <c r="D106" s="270" t="s">
        <v>185</v>
      </c>
      <c r="E106" s="270">
        <v>1</v>
      </c>
      <c r="F106" s="270" t="s">
        <v>186</v>
      </c>
      <c r="G106" s="270" t="s">
        <v>187</v>
      </c>
      <c r="H106" s="270"/>
      <c r="I106" s="270"/>
      <c r="J106" s="270"/>
      <c r="K106" s="271"/>
      <c r="L106" s="271"/>
    </row>
    <row r="107" spans="1:12" ht="24.75" customHeight="1">
      <c r="A107" s="269">
        <v>92100000</v>
      </c>
      <c r="B107" s="269">
        <v>187.5</v>
      </c>
      <c r="C107" s="270" t="s">
        <v>184</v>
      </c>
      <c r="D107" s="270" t="s">
        <v>190</v>
      </c>
      <c r="E107" s="270">
        <v>1</v>
      </c>
      <c r="F107" s="270" t="s">
        <v>186</v>
      </c>
      <c r="G107" s="270" t="s">
        <v>187</v>
      </c>
      <c r="H107" s="270"/>
      <c r="I107" s="270"/>
      <c r="J107" s="270"/>
      <c r="K107" s="271"/>
      <c r="L107" s="271"/>
    </row>
    <row r="108" spans="1:12" ht="24.75" customHeight="1">
      <c r="A108" s="269">
        <v>92100000</v>
      </c>
      <c r="B108" s="269">
        <v>187.5</v>
      </c>
      <c r="C108" s="270" t="s">
        <v>184</v>
      </c>
      <c r="D108" s="270" t="s">
        <v>189</v>
      </c>
      <c r="E108" s="270">
        <v>1</v>
      </c>
      <c r="F108" s="270" t="s">
        <v>186</v>
      </c>
      <c r="G108" s="270" t="s">
        <v>187</v>
      </c>
      <c r="H108" s="270"/>
      <c r="I108" s="270"/>
      <c r="J108" s="270"/>
      <c r="K108" s="271"/>
      <c r="L108" s="271"/>
    </row>
    <row r="109" spans="1:12" ht="24.75" customHeight="1">
      <c r="A109" s="269">
        <v>92100000</v>
      </c>
      <c r="B109" s="269">
        <v>187.5</v>
      </c>
      <c r="C109" s="270" t="s">
        <v>184</v>
      </c>
      <c r="D109" s="270" t="s">
        <v>192</v>
      </c>
      <c r="E109" s="270">
        <v>1</v>
      </c>
      <c r="F109" s="270" t="s">
        <v>186</v>
      </c>
      <c r="G109" s="270" t="s">
        <v>187</v>
      </c>
      <c r="H109" s="270"/>
      <c r="I109" s="270"/>
      <c r="J109" s="270"/>
      <c r="K109" s="271"/>
      <c r="L109" s="271"/>
    </row>
    <row r="110" spans="1:12" ht="24.75" customHeight="1">
      <c r="A110" s="269">
        <v>92100000</v>
      </c>
      <c r="B110" s="269">
        <v>400</v>
      </c>
      <c r="C110" s="270" t="s">
        <v>184</v>
      </c>
      <c r="D110" s="270" t="s">
        <v>194</v>
      </c>
      <c r="E110" s="270">
        <v>1</v>
      </c>
      <c r="F110" s="270" t="s">
        <v>186</v>
      </c>
      <c r="G110" s="270" t="s">
        <v>187</v>
      </c>
      <c r="H110" s="270"/>
      <c r="I110" s="270"/>
      <c r="J110" s="270"/>
      <c r="K110" s="271"/>
      <c r="L110" s="271"/>
    </row>
    <row r="111" spans="1:12" ht="24.75" customHeight="1">
      <c r="A111" s="269">
        <v>98300000</v>
      </c>
      <c r="B111" s="269">
        <v>700</v>
      </c>
      <c r="C111" s="270" t="s">
        <v>184</v>
      </c>
      <c r="D111" s="270" t="s">
        <v>185</v>
      </c>
      <c r="E111" s="270">
        <v>1</v>
      </c>
      <c r="F111" s="270" t="s">
        <v>186</v>
      </c>
      <c r="G111" s="270" t="s">
        <v>187</v>
      </c>
      <c r="H111" s="270"/>
      <c r="I111" s="270"/>
      <c r="J111" s="270"/>
      <c r="K111" s="271"/>
      <c r="L111" s="271"/>
    </row>
    <row r="112" spans="1:12" ht="24.75" customHeight="1">
      <c r="A112" s="269">
        <v>98300000</v>
      </c>
      <c r="B112" s="272">
        <v>700</v>
      </c>
      <c r="C112" s="270" t="s">
        <v>184</v>
      </c>
      <c r="D112" s="270" t="s">
        <v>191</v>
      </c>
      <c r="E112" s="270">
        <v>1</v>
      </c>
      <c r="F112" s="270" t="s">
        <v>186</v>
      </c>
      <c r="G112" s="270" t="s">
        <v>187</v>
      </c>
      <c r="H112" s="270"/>
      <c r="I112" s="270"/>
      <c r="J112" s="270"/>
      <c r="K112" s="271"/>
      <c r="L112" s="271"/>
    </row>
    <row r="113" spans="1:12" ht="24.75" customHeight="1">
      <c r="A113" s="273" t="s">
        <v>204</v>
      </c>
      <c r="B113" s="270">
        <f>SUM(B5:B112)</f>
        <v>336468.52</v>
      </c>
      <c r="C113" s="274"/>
      <c r="D113" s="275"/>
      <c r="E113" s="275"/>
      <c r="F113" s="275"/>
      <c r="G113" s="275"/>
      <c r="H113" s="275"/>
      <c r="I113" s="275"/>
      <c r="J113" s="275"/>
      <c r="K113" s="275"/>
      <c r="L113" s="276"/>
    </row>
    <row r="114" spans="1:12" ht="24.75" customHeight="1">
      <c r="A114" s="269" t="s">
        <v>205</v>
      </c>
      <c r="B114" s="269">
        <v>48343</v>
      </c>
      <c r="C114" s="270" t="s">
        <v>197</v>
      </c>
      <c r="D114" s="270" t="s">
        <v>185</v>
      </c>
      <c r="E114" s="270">
        <v>1</v>
      </c>
      <c r="F114" s="270" t="s">
        <v>186</v>
      </c>
      <c r="G114" s="270" t="s">
        <v>144</v>
      </c>
      <c r="H114" s="270"/>
      <c r="I114" s="270"/>
      <c r="J114" s="270"/>
      <c r="K114" s="271"/>
      <c r="L114" s="271"/>
    </row>
    <row r="115" spans="1:12" ht="24.75" customHeight="1">
      <c r="A115" s="269" t="s">
        <v>206</v>
      </c>
      <c r="B115" s="272">
        <v>21344.4</v>
      </c>
      <c r="C115" s="270" t="s">
        <v>195</v>
      </c>
      <c r="D115" s="270" t="s">
        <v>185</v>
      </c>
      <c r="E115" s="270">
        <v>1</v>
      </c>
      <c r="F115" s="270"/>
      <c r="G115" s="270" t="s">
        <v>144</v>
      </c>
      <c r="H115" s="270"/>
      <c r="I115" s="270"/>
      <c r="J115" s="270"/>
      <c r="K115" s="271"/>
      <c r="L115" s="271"/>
    </row>
    <row r="116" spans="1:12" ht="24.75" customHeight="1">
      <c r="A116" s="269" t="s">
        <v>206</v>
      </c>
      <c r="B116" s="269">
        <v>18876</v>
      </c>
      <c r="C116" s="270" t="s">
        <v>195</v>
      </c>
      <c r="D116" s="270" t="s">
        <v>185</v>
      </c>
      <c r="E116" s="270">
        <v>1</v>
      </c>
      <c r="F116" s="270"/>
      <c r="G116" s="270" t="s">
        <v>144</v>
      </c>
      <c r="H116" s="270"/>
      <c r="I116" s="270"/>
      <c r="J116" s="270"/>
      <c r="K116" s="271"/>
      <c r="L116" s="271"/>
    </row>
    <row r="117" spans="1:12" ht="24.75" customHeight="1">
      <c r="A117" s="269">
        <v>15100000</v>
      </c>
      <c r="B117" s="269">
        <v>60275</v>
      </c>
      <c r="C117" s="270" t="s">
        <v>197</v>
      </c>
      <c r="D117" s="270" t="s">
        <v>185</v>
      </c>
      <c r="E117" s="270">
        <v>1</v>
      </c>
      <c r="F117" s="270" t="s">
        <v>186</v>
      </c>
      <c r="G117" s="270" t="s">
        <v>144</v>
      </c>
      <c r="H117" s="270"/>
      <c r="I117" s="270"/>
      <c r="J117" s="270"/>
      <c r="K117" s="271"/>
      <c r="L117" s="271"/>
    </row>
    <row r="118" spans="1:12" ht="24.75" customHeight="1">
      <c r="A118" s="269">
        <v>15200000</v>
      </c>
      <c r="B118" s="269">
        <v>29860</v>
      </c>
      <c r="C118" s="270" t="s">
        <v>197</v>
      </c>
      <c r="D118" s="270" t="s">
        <v>185</v>
      </c>
      <c r="E118" s="270">
        <v>1</v>
      </c>
      <c r="F118" s="270" t="s">
        <v>186</v>
      </c>
      <c r="G118" s="270" t="s">
        <v>144</v>
      </c>
      <c r="H118" s="270"/>
      <c r="I118" s="270"/>
      <c r="J118" s="270"/>
      <c r="K118" s="271"/>
      <c r="L118" s="271"/>
    </row>
    <row r="119" spans="1:12" ht="24.75" customHeight="1">
      <c r="A119" s="269">
        <v>15300000</v>
      </c>
      <c r="B119" s="269">
        <v>31995</v>
      </c>
      <c r="C119" s="270" t="s">
        <v>197</v>
      </c>
      <c r="D119" s="270" t="s">
        <v>185</v>
      </c>
      <c r="E119" s="270">
        <v>1</v>
      </c>
      <c r="F119" s="270" t="s">
        <v>186</v>
      </c>
      <c r="G119" s="270" t="s">
        <v>144</v>
      </c>
      <c r="H119" s="270"/>
      <c r="I119" s="270"/>
      <c r="J119" s="270"/>
      <c r="K119" s="271"/>
      <c r="L119" s="271"/>
    </row>
    <row r="120" spans="1:12" ht="24.75" customHeight="1">
      <c r="A120" s="269">
        <v>15400000</v>
      </c>
      <c r="B120" s="269">
        <v>3600</v>
      </c>
      <c r="C120" s="270" t="s">
        <v>184</v>
      </c>
      <c r="D120" s="270" t="s">
        <v>189</v>
      </c>
      <c r="E120" s="270">
        <v>1</v>
      </c>
      <c r="F120" s="270" t="s">
        <v>186</v>
      </c>
      <c r="G120" s="270" t="s">
        <v>144</v>
      </c>
      <c r="H120" s="270"/>
      <c r="I120" s="270"/>
      <c r="J120" s="270"/>
      <c r="K120" s="271"/>
      <c r="L120" s="271"/>
    </row>
    <row r="121" spans="1:12" ht="24.75" customHeight="1">
      <c r="A121" s="269">
        <v>15500000</v>
      </c>
      <c r="B121" s="269">
        <v>31364.3</v>
      </c>
      <c r="C121" s="270" t="s">
        <v>197</v>
      </c>
      <c r="D121" s="270" t="s">
        <v>185</v>
      </c>
      <c r="E121" s="270">
        <v>1</v>
      </c>
      <c r="F121" s="270" t="s">
        <v>186</v>
      </c>
      <c r="G121" s="270" t="s">
        <v>144</v>
      </c>
      <c r="H121" s="270"/>
      <c r="I121" s="270"/>
      <c r="J121" s="270"/>
      <c r="K121" s="271"/>
      <c r="L121" s="271"/>
    </row>
    <row r="122" spans="1:12" ht="24.75" customHeight="1">
      <c r="A122" s="269">
        <v>15600000</v>
      </c>
      <c r="B122" s="269">
        <v>1950</v>
      </c>
      <c r="C122" s="270" t="s">
        <v>184</v>
      </c>
      <c r="D122" s="270" t="s">
        <v>185</v>
      </c>
      <c r="E122" s="270">
        <v>1</v>
      </c>
      <c r="F122" s="270" t="s">
        <v>186</v>
      </c>
      <c r="G122" s="270" t="s">
        <v>144</v>
      </c>
      <c r="H122" s="270"/>
      <c r="I122" s="270"/>
      <c r="J122" s="270"/>
      <c r="K122" s="271"/>
      <c r="L122" s="271"/>
    </row>
    <row r="123" spans="1:12" ht="24.75" customHeight="1">
      <c r="A123" s="269">
        <v>15800000</v>
      </c>
      <c r="B123" s="269">
        <v>24440</v>
      </c>
      <c r="C123" s="270" t="s">
        <v>197</v>
      </c>
      <c r="D123" s="270" t="s">
        <v>185</v>
      </c>
      <c r="E123" s="270">
        <v>1</v>
      </c>
      <c r="F123" s="270" t="s">
        <v>186</v>
      </c>
      <c r="G123" s="270" t="s">
        <v>144</v>
      </c>
      <c r="H123" s="270"/>
      <c r="I123" s="270"/>
      <c r="J123" s="270"/>
      <c r="K123" s="271"/>
      <c r="L123" s="271"/>
    </row>
    <row r="124" spans="1:12" ht="24.75" customHeight="1">
      <c r="A124" s="269">
        <v>15900000</v>
      </c>
      <c r="B124" s="269">
        <v>740</v>
      </c>
      <c r="C124" s="270" t="s">
        <v>197</v>
      </c>
      <c r="D124" s="270" t="s">
        <v>189</v>
      </c>
      <c r="E124" s="270">
        <v>1</v>
      </c>
      <c r="F124" s="270" t="s">
        <v>186</v>
      </c>
      <c r="G124" s="270" t="s">
        <v>144</v>
      </c>
      <c r="H124" s="270"/>
      <c r="I124" s="270"/>
      <c r="J124" s="270"/>
      <c r="K124" s="271"/>
      <c r="L124" s="271"/>
    </row>
    <row r="125" spans="1:12" ht="24.75" customHeight="1">
      <c r="A125" s="269">
        <v>15900000</v>
      </c>
      <c r="B125" s="269">
        <v>3300</v>
      </c>
      <c r="C125" s="270" t="s">
        <v>197</v>
      </c>
      <c r="D125" s="270" t="s">
        <v>185</v>
      </c>
      <c r="E125" s="270">
        <v>1</v>
      </c>
      <c r="F125" s="270" t="s">
        <v>186</v>
      </c>
      <c r="G125" s="270" t="s">
        <v>144</v>
      </c>
      <c r="H125" s="270"/>
      <c r="I125" s="270"/>
      <c r="J125" s="270"/>
      <c r="K125" s="271"/>
      <c r="L125" s="271"/>
    </row>
    <row r="126" spans="1:12" ht="24.75" customHeight="1">
      <c r="A126" s="269">
        <v>18100000</v>
      </c>
      <c r="B126" s="269">
        <v>950</v>
      </c>
      <c r="C126" s="270" t="s">
        <v>184</v>
      </c>
      <c r="D126" s="270" t="s">
        <v>185</v>
      </c>
      <c r="E126" s="270">
        <v>1</v>
      </c>
      <c r="F126" s="270" t="s">
        <v>186</v>
      </c>
      <c r="G126" s="270" t="s">
        <v>144</v>
      </c>
      <c r="H126" s="270"/>
      <c r="I126" s="270"/>
      <c r="J126" s="270"/>
      <c r="K126" s="271"/>
      <c r="L126" s="271"/>
    </row>
    <row r="127" spans="1:12" ht="24.75" customHeight="1">
      <c r="A127" s="269">
        <v>18500000</v>
      </c>
      <c r="B127" s="269">
        <v>717</v>
      </c>
      <c r="C127" s="270" t="s">
        <v>184</v>
      </c>
      <c r="D127" s="270" t="s">
        <v>194</v>
      </c>
      <c r="E127" s="270">
        <v>1</v>
      </c>
      <c r="F127" s="270" t="s">
        <v>193</v>
      </c>
      <c r="G127" s="270" t="s">
        <v>144</v>
      </c>
      <c r="H127" s="270"/>
      <c r="I127" s="270"/>
      <c r="J127" s="270"/>
      <c r="K127" s="271"/>
      <c r="L127" s="271"/>
    </row>
    <row r="128" spans="1:12" ht="24.75" customHeight="1">
      <c r="A128" s="269">
        <v>18500000</v>
      </c>
      <c r="B128" s="269">
        <v>1800</v>
      </c>
      <c r="C128" s="270" t="s">
        <v>184</v>
      </c>
      <c r="D128" s="270" t="s">
        <v>189</v>
      </c>
      <c r="E128" s="270">
        <v>1</v>
      </c>
      <c r="F128" s="270" t="s">
        <v>193</v>
      </c>
      <c r="G128" s="270" t="s">
        <v>144</v>
      </c>
      <c r="H128" s="270"/>
      <c r="I128" s="270"/>
      <c r="J128" s="270"/>
      <c r="K128" s="271"/>
      <c r="L128" s="271"/>
    </row>
    <row r="129" spans="1:12" ht="24.75" customHeight="1">
      <c r="A129" s="269">
        <v>18800000</v>
      </c>
      <c r="B129" s="269">
        <v>1240</v>
      </c>
      <c r="C129" s="270" t="s">
        <v>184</v>
      </c>
      <c r="D129" s="270" t="s">
        <v>192</v>
      </c>
      <c r="E129" s="270">
        <v>1</v>
      </c>
      <c r="F129" s="270" t="s">
        <v>186</v>
      </c>
      <c r="G129" s="270" t="s">
        <v>144</v>
      </c>
      <c r="H129" s="270"/>
      <c r="I129" s="270"/>
      <c r="J129" s="270"/>
      <c r="K129" s="271"/>
      <c r="L129" s="271"/>
    </row>
    <row r="130" spans="1:12" ht="24.75" customHeight="1">
      <c r="A130" s="269">
        <v>22400000</v>
      </c>
      <c r="B130" s="269">
        <v>8898.78</v>
      </c>
      <c r="C130" s="270" t="s">
        <v>197</v>
      </c>
      <c r="D130" s="270" t="s">
        <v>194</v>
      </c>
      <c r="E130" s="270">
        <v>1</v>
      </c>
      <c r="F130" s="270" t="s">
        <v>186</v>
      </c>
      <c r="G130" s="270" t="s">
        <v>144</v>
      </c>
      <c r="H130" s="270"/>
      <c r="I130" s="270"/>
      <c r="J130" s="270"/>
      <c r="K130" s="271"/>
      <c r="L130" s="271"/>
    </row>
    <row r="131" spans="1:12" ht="24.75" customHeight="1">
      <c r="A131" s="269">
        <v>22400000</v>
      </c>
      <c r="B131" s="269">
        <v>10723</v>
      </c>
      <c r="C131" s="270" t="s">
        <v>197</v>
      </c>
      <c r="D131" s="270" t="s">
        <v>185</v>
      </c>
      <c r="E131" s="270">
        <v>1</v>
      </c>
      <c r="F131" s="270" t="s">
        <v>186</v>
      </c>
      <c r="G131" s="270" t="s">
        <v>144</v>
      </c>
      <c r="H131" s="270"/>
      <c r="I131" s="270"/>
      <c r="J131" s="270"/>
      <c r="K131" s="271"/>
      <c r="L131" s="271"/>
    </row>
    <row r="132" spans="1:12" ht="24.75" customHeight="1">
      <c r="A132" s="269">
        <v>24400000</v>
      </c>
      <c r="B132" s="269">
        <v>150</v>
      </c>
      <c r="C132" s="270" t="s">
        <v>184</v>
      </c>
      <c r="D132" s="270" t="s">
        <v>192</v>
      </c>
      <c r="E132" s="270">
        <v>1</v>
      </c>
      <c r="F132" s="270" t="s">
        <v>186</v>
      </c>
      <c r="G132" s="270" t="s">
        <v>144</v>
      </c>
      <c r="H132" s="270"/>
      <c r="I132" s="270"/>
      <c r="J132" s="270"/>
      <c r="K132" s="271"/>
      <c r="L132" s="271"/>
    </row>
    <row r="133" spans="1:12" ht="24.75" customHeight="1">
      <c r="A133" s="269">
        <v>24900000</v>
      </c>
      <c r="B133" s="269">
        <v>98</v>
      </c>
      <c r="C133" s="270" t="s">
        <v>184</v>
      </c>
      <c r="D133" s="270" t="s">
        <v>194</v>
      </c>
      <c r="E133" s="270">
        <v>1</v>
      </c>
      <c r="F133" s="270" t="s">
        <v>186</v>
      </c>
      <c r="G133" s="270" t="s">
        <v>144</v>
      </c>
      <c r="H133" s="270"/>
      <c r="I133" s="270"/>
      <c r="J133" s="270"/>
      <c r="K133" s="271"/>
      <c r="L133" s="271"/>
    </row>
    <row r="134" spans="1:12" ht="24.75" customHeight="1">
      <c r="A134" s="269">
        <v>24900000</v>
      </c>
      <c r="B134" s="269">
        <v>204</v>
      </c>
      <c r="C134" s="270" t="s">
        <v>184</v>
      </c>
      <c r="D134" s="270" t="s">
        <v>185</v>
      </c>
      <c r="E134" s="270">
        <v>1</v>
      </c>
      <c r="F134" s="270" t="s">
        <v>186</v>
      </c>
      <c r="G134" s="270" t="s">
        <v>144</v>
      </c>
      <c r="H134" s="270"/>
      <c r="I134" s="270"/>
      <c r="J134" s="270"/>
      <c r="K134" s="271"/>
      <c r="L134" s="271"/>
    </row>
    <row r="135" spans="1:12" ht="24.75" customHeight="1">
      <c r="A135" s="269">
        <v>24900000</v>
      </c>
      <c r="B135" s="269">
        <v>150</v>
      </c>
      <c r="C135" s="270" t="s">
        <v>184</v>
      </c>
      <c r="D135" s="270" t="s">
        <v>190</v>
      </c>
      <c r="E135" s="270">
        <v>1</v>
      </c>
      <c r="F135" s="270" t="s">
        <v>186</v>
      </c>
      <c r="G135" s="270" t="s">
        <v>144</v>
      </c>
      <c r="H135" s="270"/>
      <c r="I135" s="270"/>
      <c r="J135" s="270"/>
      <c r="K135" s="271"/>
      <c r="L135" s="271"/>
    </row>
    <row r="136" spans="1:12" ht="24.75" customHeight="1">
      <c r="A136" s="269">
        <v>30100000</v>
      </c>
      <c r="B136" s="269">
        <v>9250</v>
      </c>
      <c r="C136" s="270" t="s">
        <v>197</v>
      </c>
      <c r="D136" s="270" t="s">
        <v>185</v>
      </c>
      <c r="E136" s="270">
        <v>1</v>
      </c>
      <c r="F136" s="270" t="s">
        <v>186</v>
      </c>
      <c r="G136" s="270" t="s">
        <v>144</v>
      </c>
      <c r="H136" s="270"/>
      <c r="I136" s="270"/>
      <c r="J136" s="270"/>
      <c r="K136" s="271"/>
      <c r="L136" s="271"/>
    </row>
    <row r="137" spans="1:12" ht="24.75" customHeight="1">
      <c r="A137" s="269">
        <v>30100000</v>
      </c>
      <c r="B137" s="269">
        <v>5027</v>
      </c>
      <c r="C137" s="270" t="s">
        <v>197</v>
      </c>
      <c r="D137" s="270" t="s">
        <v>192</v>
      </c>
      <c r="E137" s="270">
        <v>1</v>
      </c>
      <c r="F137" s="270" t="s">
        <v>186</v>
      </c>
      <c r="G137" s="270" t="s">
        <v>144</v>
      </c>
      <c r="H137" s="270"/>
      <c r="I137" s="270"/>
      <c r="J137" s="270"/>
      <c r="K137" s="271"/>
      <c r="L137" s="271"/>
    </row>
    <row r="138" spans="1:12" ht="24.75" customHeight="1">
      <c r="A138" s="269">
        <v>30100000</v>
      </c>
      <c r="B138" s="272">
        <v>799</v>
      </c>
      <c r="C138" s="270" t="s">
        <v>197</v>
      </c>
      <c r="D138" s="270" t="s">
        <v>191</v>
      </c>
      <c r="E138" s="270">
        <v>1</v>
      </c>
      <c r="F138" s="270" t="s">
        <v>186</v>
      </c>
      <c r="G138" s="270" t="s">
        <v>144</v>
      </c>
      <c r="H138" s="270"/>
      <c r="I138" s="270"/>
      <c r="J138" s="270"/>
      <c r="K138" s="271"/>
      <c r="L138" s="271"/>
    </row>
    <row r="139" spans="1:12" ht="24.75" customHeight="1">
      <c r="A139" s="269">
        <v>30200000</v>
      </c>
      <c r="B139" s="269">
        <v>10000</v>
      </c>
      <c r="C139" s="270" t="s">
        <v>195</v>
      </c>
      <c r="D139" s="270" t="s">
        <v>185</v>
      </c>
      <c r="E139" s="270">
        <v>1</v>
      </c>
      <c r="F139" s="270"/>
      <c r="G139" s="270" t="s">
        <v>144</v>
      </c>
      <c r="H139" s="270"/>
      <c r="I139" s="270"/>
      <c r="J139" s="270"/>
      <c r="K139" s="271"/>
      <c r="L139" s="271"/>
    </row>
    <row r="140" spans="1:12" ht="24.75" customHeight="1">
      <c r="A140" s="269">
        <v>30200000</v>
      </c>
      <c r="B140" s="269">
        <v>2260</v>
      </c>
      <c r="C140" s="270" t="s">
        <v>195</v>
      </c>
      <c r="D140" s="270" t="s">
        <v>185</v>
      </c>
      <c r="E140" s="270">
        <v>1</v>
      </c>
      <c r="F140" s="270"/>
      <c r="G140" s="270" t="s">
        <v>144</v>
      </c>
      <c r="H140" s="270"/>
      <c r="I140" s="270"/>
      <c r="J140" s="270"/>
      <c r="K140" s="271"/>
      <c r="L140" s="271"/>
    </row>
    <row r="141" spans="1:12" ht="24.75" customHeight="1">
      <c r="A141" s="269">
        <v>31200000</v>
      </c>
      <c r="B141" s="269">
        <v>920</v>
      </c>
      <c r="C141" s="270" t="s">
        <v>184</v>
      </c>
      <c r="D141" s="270" t="s">
        <v>188</v>
      </c>
      <c r="E141" s="270">
        <v>1</v>
      </c>
      <c r="F141" s="270" t="s">
        <v>186</v>
      </c>
      <c r="G141" s="270" t="s">
        <v>144</v>
      </c>
      <c r="H141" s="270"/>
      <c r="I141" s="270"/>
      <c r="J141" s="270"/>
      <c r="K141" s="271"/>
      <c r="L141" s="271"/>
    </row>
    <row r="142" spans="1:12" ht="24.75" customHeight="1">
      <c r="A142" s="269">
        <v>31200000</v>
      </c>
      <c r="B142" s="269">
        <v>208.5</v>
      </c>
      <c r="C142" s="270" t="s">
        <v>184</v>
      </c>
      <c r="D142" s="270" t="s">
        <v>192</v>
      </c>
      <c r="E142" s="270">
        <v>1</v>
      </c>
      <c r="F142" s="270" t="s">
        <v>186</v>
      </c>
      <c r="G142" s="270" t="s">
        <v>144</v>
      </c>
      <c r="H142" s="270"/>
      <c r="I142" s="270"/>
      <c r="J142" s="270"/>
      <c r="K142" s="271"/>
      <c r="L142" s="271"/>
    </row>
    <row r="143" spans="1:12" ht="24.75" customHeight="1">
      <c r="A143" s="269">
        <v>32300000</v>
      </c>
      <c r="B143" s="269">
        <v>370</v>
      </c>
      <c r="C143" s="270" t="s">
        <v>184</v>
      </c>
      <c r="D143" s="270" t="s">
        <v>191</v>
      </c>
      <c r="E143" s="270">
        <v>1</v>
      </c>
      <c r="F143" s="270" t="s">
        <v>186</v>
      </c>
      <c r="G143" s="270" t="s">
        <v>144</v>
      </c>
      <c r="H143" s="270"/>
      <c r="I143" s="270"/>
      <c r="J143" s="270"/>
      <c r="K143" s="271"/>
      <c r="L143" s="271"/>
    </row>
    <row r="144" spans="1:12" ht="24.75" customHeight="1">
      <c r="A144" s="269">
        <v>32300000</v>
      </c>
      <c r="B144" s="269">
        <v>1638</v>
      </c>
      <c r="C144" s="270" t="s">
        <v>184</v>
      </c>
      <c r="D144" s="270" t="s">
        <v>191</v>
      </c>
      <c r="E144" s="270">
        <v>1</v>
      </c>
      <c r="F144" s="270" t="s">
        <v>186</v>
      </c>
      <c r="G144" s="270" t="s">
        <v>144</v>
      </c>
      <c r="H144" s="270"/>
      <c r="I144" s="270"/>
      <c r="J144" s="270"/>
      <c r="K144" s="271"/>
      <c r="L144" s="271"/>
    </row>
    <row r="145" spans="1:12" ht="24.75" customHeight="1">
      <c r="A145" s="269">
        <v>33700000</v>
      </c>
      <c r="B145" s="269">
        <v>799.24</v>
      </c>
      <c r="C145" s="270" t="s">
        <v>184</v>
      </c>
      <c r="D145" s="270" t="s">
        <v>190</v>
      </c>
      <c r="E145" s="270">
        <v>1</v>
      </c>
      <c r="F145" s="270" t="s">
        <v>186</v>
      </c>
      <c r="G145" s="270" t="s">
        <v>144</v>
      </c>
      <c r="H145" s="270"/>
      <c r="I145" s="270"/>
      <c r="J145" s="270"/>
      <c r="K145" s="271"/>
      <c r="L145" s="271"/>
    </row>
    <row r="146" spans="1:12" ht="24.75" customHeight="1">
      <c r="A146" s="269">
        <v>33700000</v>
      </c>
      <c r="B146" s="269">
        <v>4175</v>
      </c>
      <c r="C146" s="270" t="s">
        <v>184</v>
      </c>
      <c r="D146" s="270" t="s">
        <v>188</v>
      </c>
      <c r="E146" s="270">
        <v>1</v>
      </c>
      <c r="F146" s="270" t="s">
        <v>186</v>
      </c>
      <c r="G146" s="270" t="s">
        <v>144</v>
      </c>
      <c r="H146" s="270"/>
      <c r="I146" s="270"/>
      <c r="J146" s="270"/>
      <c r="K146" s="271"/>
      <c r="L146" s="271"/>
    </row>
    <row r="147" spans="1:12" ht="24.75" customHeight="1">
      <c r="A147" s="269">
        <v>34300000</v>
      </c>
      <c r="B147" s="269">
        <v>2480</v>
      </c>
      <c r="C147" s="270" t="s">
        <v>184</v>
      </c>
      <c r="D147" s="270" t="s">
        <v>188</v>
      </c>
      <c r="E147" s="270">
        <v>1</v>
      </c>
      <c r="F147" s="270" t="s">
        <v>186</v>
      </c>
      <c r="G147" s="270" t="s">
        <v>144</v>
      </c>
      <c r="H147" s="270"/>
      <c r="I147" s="270"/>
      <c r="J147" s="270"/>
      <c r="K147" s="271"/>
      <c r="L147" s="271"/>
    </row>
    <row r="148" spans="1:12" ht="24.75" customHeight="1">
      <c r="A148" s="269">
        <v>34300000</v>
      </c>
      <c r="B148" s="269">
        <v>280</v>
      </c>
      <c r="C148" s="270" t="s">
        <v>195</v>
      </c>
      <c r="D148" s="270" t="s">
        <v>194</v>
      </c>
      <c r="E148" s="270">
        <v>1</v>
      </c>
      <c r="F148" s="270"/>
      <c r="G148" s="270" t="s">
        <v>144</v>
      </c>
      <c r="H148" s="270"/>
      <c r="I148" s="270"/>
      <c r="J148" s="270"/>
      <c r="K148" s="271"/>
      <c r="L148" s="271"/>
    </row>
    <row r="149" spans="1:12" ht="24.75" customHeight="1">
      <c r="A149" s="269">
        <v>38600000</v>
      </c>
      <c r="B149" s="269">
        <v>2340</v>
      </c>
      <c r="C149" s="270" t="s">
        <v>184</v>
      </c>
      <c r="D149" s="270" t="s">
        <v>188</v>
      </c>
      <c r="E149" s="270">
        <v>1</v>
      </c>
      <c r="F149" s="270" t="s">
        <v>186</v>
      </c>
      <c r="G149" s="270" t="s">
        <v>144</v>
      </c>
      <c r="H149" s="270"/>
      <c r="I149" s="270"/>
      <c r="J149" s="270"/>
      <c r="K149" s="271"/>
      <c r="L149" s="271"/>
    </row>
    <row r="150" spans="1:12" ht="24.75" customHeight="1">
      <c r="A150" s="269">
        <v>39100000</v>
      </c>
      <c r="B150" s="269">
        <v>4985</v>
      </c>
      <c r="C150" s="270" t="s">
        <v>184</v>
      </c>
      <c r="D150" s="270" t="s">
        <v>185</v>
      </c>
      <c r="E150" s="270">
        <v>1</v>
      </c>
      <c r="F150" s="270" t="s">
        <v>186</v>
      </c>
      <c r="G150" s="270" t="s">
        <v>144</v>
      </c>
      <c r="H150" s="270"/>
      <c r="I150" s="270"/>
      <c r="J150" s="270"/>
      <c r="K150" s="271"/>
      <c r="L150" s="271"/>
    </row>
    <row r="151" spans="1:12" ht="24.75" customHeight="1">
      <c r="A151" s="269">
        <v>39200000</v>
      </c>
      <c r="B151" s="269">
        <v>332.1</v>
      </c>
      <c r="C151" s="270" t="s">
        <v>184</v>
      </c>
      <c r="D151" s="270" t="s">
        <v>189</v>
      </c>
      <c r="E151" s="270">
        <v>1</v>
      </c>
      <c r="F151" s="270" t="s">
        <v>186</v>
      </c>
      <c r="G151" s="270" t="s">
        <v>144</v>
      </c>
      <c r="H151" s="270"/>
      <c r="I151" s="270"/>
      <c r="J151" s="270"/>
      <c r="K151" s="271"/>
      <c r="L151" s="271"/>
    </row>
    <row r="152" spans="1:12" ht="24.75" customHeight="1">
      <c r="A152" s="269">
        <v>39500000</v>
      </c>
      <c r="B152" s="269">
        <v>800</v>
      </c>
      <c r="C152" s="270" t="s">
        <v>184</v>
      </c>
      <c r="D152" s="270" t="s">
        <v>192</v>
      </c>
      <c r="E152" s="270">
        <v>1</v>
      </c>
      <c r="F152" s="270" t="s">
        <v>186</v>
      </c>
      <c r="G152" s="270" t="s">
        <v>144</v>
      </c>
      <c r="H152" s="270"/>
      <c r="I152" s="270"/>
      <c r="J152" s="270"/>
      <c r="K152" s="271"/>
      <c r="L152" s="271"/>
    </row>
    <row r="153" spans="1:12" ht="24.75" customHeight="1">
      <c r="A153" s="269">
        <v>39500000</v>
      </c>
      <c r="B153" s="269">
        <v>69</v>
      </c>
      <c r="C153" s="270" t="s">
        <v>184</v>
      </c>
      <c r="D153" s="270" t="s">
        <v>185</v>
      </c>
      <c r="E153" s="270">
        <v>1</v>
      </c>
      <c r="F153" s="270" t="s">
        <v>186</v>
      </c>
      <c r="G153" s="270" t="s">
        <v>144</v>
      </c>
      <c r="H153" s="270"/>
      <c r="I153" s="270"/>
      <c r="J153" s="270"/>
      <c r="K153" s="271"/>
      <c r="L153" s="271"/>
    </row>
    <row r="154" spans="1:12" ht="24.75" customHeight="1">
      <c r="A154" s="269">
        <v>39700000</v>
      </c>
      <c r="B154" s="269">
        <v>615</v>
      </c>
      <c r="C154" s="270" t="s">
        <v>184</v>
      </c>
      <c r="D154" s="270" t="s">
        <v>192</v>
      </c>
      <c r="E154" s="270">
        <v>1</v>
      </c>
      <c r="F154" s="270" t="s">
        <v>186</v>
      </c>
      <c r="G154" s="270" t="s">
        <v>144</v>
      </c>
      <c r="H154" s="270"/>
      <c r="I154" s="270"/>
      <c r="J154" s="270"/>
      <c r="K154" s="271"/>
      <c r="L154" s="271"/>
    </row>
    <row r="155" spans="1:12" ht="24.75" customHeight="1">
      <c r="A155" s="269">
        <v>39700000</v>
      </c>
      <c r="B155" s="269">
        <v>978</v>
      </c>
      <c r="C155" s="270" t="s">
        <v>184</v>
      </c>
      <c r="D155" s="270" t="s">
        <v>194</v>
      </c>
      <c r="E155" s="270">
        <v>1</v>
      </c>
      <c r="F155" s="270" t="s">
        <v>186</v>
      </c>
      <c r="G155" s="270" t="s">
        <v>144</v>
      </c>
      <c r="H155" s="270"/>
      <c r="I155" s="270"/>
      <c r="J155" s="270"/>
      <c r="K155" s="271"/>
      <c r="L155" s="271"/>
    </row>
    <row r="156" spans="1:12" ht="24.75" customHeight="1">
      <c r="A156" s="269">
        <v>39700000</v>
      </c>
      <c r="B156" s="269">
        <v>2550</v>
      </c>
      <c r="C156" s="270" t="s">
        <v>184</v>
      </c>
      <c r="D156" s="270" t="s">
        <v>194</v>
      </c>
      <c r="E156" s="270">
        <v>1</v>
      </c>
      <c r="F156" s="270" t="s">
        <v>186</v>
      </c>
      <c r="G156" s="270" t="s">
        <v>144</v>
      </c>
      <c r="H156" s="270"/>
      <c r="I156" s="270"/>
      <c r="J156" s="270"/>
      <c r="K156" s="271"/>
      <c r="L156" s="271"/>
    </row>
    <row r="157" spans="1:12" ht="24.75" customHeight="1">
      <c r="A157" s="269">
        <v>39800000</v>
      </c>
      <c r="B157" s="269">
        <v>4200</v>
      </c>
      <c r="C157" s="270" t="s">
        <v>184</v>
      </c>
      <c r="D157" s="270" t="s">
        <v>188</v>
      </c>
      <c r="E157" s="270">
        <v>1</v>
      </c>
      <c r="F157" s="270" t="s">
        <v>186</v>
      </c>
      <c r="G157" s="270" t="s">
        <v>144</v>
      </c>
      <c r="H157" s="270"/>
      <c r="I157" s="270"/>
      <c r="J157" s="270"/>
      <c r="K157" s="271"/>
      <c r="L157" s="271"/>
    </row>
    <row r="158" spans="1:12" ht="24.75" customHeight="1">
      <c r="A158" s="269">
        <v>42500000</v>
      </c>
      <c r="B158" s="269">
        <v>70</v>
      </c>
      <c r="C158" s="270" t="s">
        <v>184</v>
      </c>
      <c r="D158" s="270" t="s">
        <v>192</v>
      </c>
      <c r="E158" s="270">
        <v>1</v>
      </c>
      <c r="F158" s="270" t="s">
        <v>186</v>
      </c>
      <c r="G158" s="270" t="s">
        <v>144</v>
      </c>
      <c r="H158" s="270"/>
      <c r="I158" s="270"/>
      <c r="J158" s="270"/>
      <c r="K158" s="271"/>
      <c r="L158" s="271"/>
    </row>
    <row r="159" spans="1:12" ht="24.75" customHeight="1">
      <c r="A159" s="269">
        <v>44400000</v>
      </c>
      <c r="B159" s="269">
        <v>62</v>
      </c>
      <c r="C159" s="270" t="s">
        <v>184</v>
      </c>
      <c r="D159" s="270" t="s">
        <v>192</v>
      </c>
      <c r="E159" s="270">
        <v>1</v>
      </c>
      <c r="F159" s="270" t="s">
        <v>186</v>
      </c>
      <c r="G159" s="270" t="s">
        <v>144</v>
      </c>
      <c r="H159" s="270"/>
      <c r="I159" s="270"/>
      <c r="J159" s="270"/>
      <c r="K159" s="271"/>
      <c r="L159" s="271"/>
    </row>
    <row r="160" spans="1:12" ht="24.75" customHeight="1">
      <c r="A160" s="269">
        <v>45100000</v>
      </c>
      <c r="B160" s="269">
        <v>199470</v>
      </c>
      <c r="C160" s="270" t="s">
        <v>200</v>
      </c>
      <c r="D160" s="270" t="s">
        <v>185</v>
      </c>
      <c r="E160" s="270">
        <v>2</v>
      </c>
      <c r="F160" s="270"/>
      <c r="G160" s="270" t="s">
        <v>144</v>
      </c>
      <c r="H160" s="270"/>
      <c r="I160" s="270"/>
      <c r="J160" s="270"/>
      <c r="K160" s="271"/>
      <c r="L160" s="271" t="s">
        <v>203</v>
      </c>
    </row>
    <row r="161" spans="1:12" ht="24.75" customHeight="1">
      <c r="A161" s="269">
        <v>45200000</v>
      </c>
      <c r="B161" s="269">
        <v>91832.06</v>
      </c>
      <c r="C161" s="270" t="s">
        <v>197</v>
      </c>
      <c r="D161" s="270" t="s">
        <v>185</v>
      </c>
      <c r="E161" s="270">
        <v>1</v>
      </c>
      <c r="F161" s="270" t="s">
        <v>186</v>
      </c>
      <c r="G161" s="270" t="s">
        <v>144</v>
      </c>
      <c r="H161" s="270"/>
      <c r="I161" s="270"/>
      <c r="J161" s="270"/>
      <c r="K161" s="271"/>
      <c r="L161" s="271"/>
    </row>
    <row r="162" spans="1:12" ht="24.75" customHeight="1">
      <c r="A162" s="269">
        <v>45200000</v>
      </c>
      <c r="B162" s="269">
        <v>158758.58</v>
      </c>
      <c r="C162" s="270" t="s">
        <v>184</v>
      </c>
      <c r="D162" s="270" t="s">
        <v>191</v>
      </c>
      <c r="E162" s="270">
        <v>1</v>
      </c>
      <c r="F162" s="270" t="s">
        <v>196</v>
      </c>
      <c r="G162" s="270" t="s">
        <v>144</v>
      </c>
      <c r="H162" s="270"/>
      <c r="I162" s="270"/>
      <c r="J162" s="270"/>
      <c r="K162" s="271"/>
      <c r="L162" s="271"/>
    </row>
    <row r="163" spans="1:12" ht="24.75" customHeight="1">
      <c r="A163" s="269">
        <v>50100000</v>
      </c>
      <c r="B163" s="269">
        <v>35000</v>
      </c>
      <c r="C163" s="270" t="s">
        <v>184</v>
      </c>
      <c r="D163" s="270" t="s">
        <v>185</v>
      </c>
      <c r="E163" s="270">
        <v>2</v>
      </c>
      <c r="F163" s="270" t="s">
        <v>196</v>
      </c>
      <c r="G163" s="270" t="s">
        <v>144</v>
      </c>
      <c r="H163" s="270"/>
      <c r="I163" s="270"/>
      <c r="J163" s="270"/>
      <c r="K163" s="271"/>
      <c r="L163" s="271"/>
    </row>
    <row r="164" spans="1:12" ht="24.75" customHeight="1">
      <c r="A164" s="269">
        <v>50500000</v>
      </c>
      <c r="B164" s="269">
        <v>100</v>
      </c>
      <c r="C164" s="270" t="s">
        <v>184</v>
      </c>
      <c r="D164" s="270" t="s">
        <v>185</v>
      </c>
      <c r="E164" s="270">
        <v>1</v>
      </c>
      <c r="F164" s="270" t="s">
        <v>186</v>
      </c>
      <c r="G164" s="270" t="s">
        <v>144</v>
      </c>
      <c r="H164" s="270"/>
      <c r="I164" s="270"/>
      <c r="J164" s="270"/>
      <c r="K164" s="271"/>
      <c r="L164" s="271"/>
    </row>
    <row r="165" spans="1:12" ht="24.75" customHeight="1">
      <c r="A165" s="269">
        <v>50500000</v>
      </c>
      <c r="B165" s="269">
        <v>50</v>
      </c>
      <c r="C165" s="270" t="s">
        <v>184</v>
      </c>
      <c r="D165" s="270" t="s">
        <v>185</v>
      </c>
      <c r="E165" s="270">
        <v>1</v>
      </c>
      <c r="F165" s="270" t="s">
        <v>186</v>
      </c>
      <c r="G165" s="270" t="s">
        <v>144</v>
      </c>
      <c r="H165" s="270"/>
      <c r="I165" s="270"/>
      <c r="J165" s="270"/>
      <c r="K165" s="271"/>
      <c r="L165" s="271"/>
    </row>
    <row r="166" spans="1:12" ht="24.75" customHeight="1">
      <c r="A166" s="269">
        <v>50500000</v>
      </c>
      <c r="B166" s="269">
        <v>370</v>
      </c>
      <c r="C166" s="270" t="s">
        <v>184</v>
      </c>
      <c r="D166" s="270" t="s">
        <v>185</v>
      </c>
      <c r="E166" s="270">
        <v>1</v>
      </c>
      <c r="F166" s="270" t="s">
        <v>186</v>
      </c>
      <c r="G166" s="270" t="s">
        <v>144</v>
      </c>
      <c r="H166" s="270"/>
      <c r="I166" s="270"/>
      <c r="J166" s="270"/>
      <c r="K166" s="271"/>
      <c r="L166" s="271"/>
    </row>
    <row r="167" spans="1:12" ht="24.75" customHeight="1">
      <c r="A167" s="269">
        <v>50500000</v>
      </c>
      <c r="B167" s="269">
        <v>500</v>
      </c>
      <c r="C167" s="270" t="s">
        <v>184</v>
      </c>
      <c r="D167" s="270" t="s">
        <v>189</v>
      </c>
      <c r="E167" s="270">
        <v>1</v>
      </c>
      <c r="F167" s="270" t="s">
        <v>186</v>
      </c>
      <c r="G167" s="270" t="s">
        <v>144</v>
      </c>
      <c r="H167" s="270"/>
      <c r="I167" s="270"/>
      <c r="J167" s="270"/>
      <c r="K167" s="271"/>
      <c r="L167" s="271"/>
    </row>
    <row r="168" spans="1:12" ht="24.75" customHeight="1">
      <c r="A168" s="269">
        <v>50700000</v>
      </c>
      <c r="B168" s="269">
        <v>95187.49</v>
      </c>
      <c r="C168" s="270" t="s">
        <v>197</v>
      </c>
      <c r="D168" s="270" t="s">
        <v>185</v>
      </c>
      <c r="E168" s="270">
        <v>1</v>
      </c>
      <c r="F168" s="270" t="s">
        <v>186</v>
      </c>
      <c r="G168" s="270" t="s">
        <v>144</v>
      </c>
      <c r="H168" s="270"/>
      <c r="I168" s="270"/>
      <c r="J168" s="270"/>
      <c r="K168" s="271"/>
      <c r="L168" s="271"/>
    </row>
    <row r="169" spans="1:12" ht="24.75" customHeight="1">
      <c r="A169" s="269">
        <v>55300000</v>
      </c>
      <c r="B169" s="269">
        <v>310.42</v>
      </c>
      <c r="C169" s="270" t="s">
        <v>184</v>
      </c>
      <c r="D169" s="270" t="s">
        <v>190</v>
      </c>
      <c r="E169" s="270">
        <v>1</v>
      </c>
      <c r="F169" s="270" t="s">
        <v>193</v>
      </c>
      <c r="G169" s="270" t="s">
        <v>144</v>
      </c>
      <c r="H169" s="270"/>
      <c r="I169" s="270"/>
      <c r="J169" s="270"/>
      <c r="K169" s="271"/>
      <c r="L169" s="271"/>
    </row>
    <row r="170" spans="1:12" ht="24.75" customHeight="1">
      <c r="A170" s="269">
        <v>55300000</v>
      </c>
      <c r="B170" s="269">
        <v>39573.15</v>
      </c>
      <c r="C170" s="270" t="s">
        <v>197</v>
      </c>
      <c r="D170" s="270" t="s">
        <v>189</v>
      </c>
      <c r="E170" s="270">
        <v>1</v>
      </c>
      <c r="F170" s="270" t="s">
        <v>186</v>
      </c>
      <c r="G170" s="270" t="s">
        <v>144</v>
      </c>
      <c r="H170" s="270"/>
      <c r="I170" s="270"/>
      <c r="J170" s="270"/>
      <c r="K170" s="271"/>
      <c r="L170" s="271"/>
    </row>
    <row r="171" spans="1:12" ht="24.75" customHeight="1">
      <c r="A171" s="269">
        <v>55300000</v>
      </c>
      <c r="B171" s="269">
        <v>39366.29</v>
      </c>
      <c r="C171" s="270" t="s">
        <v>197</v>
      </c>
      <c r="D171" s="270" t="s">
        <v>185</v>
      </c>
      <c r="E171" s="270">
        <v>1</v>
      </c>
      <c r="F171" s="270" t="s">
        <v>186</v>
      </c>
      <c r="G171" s="270" t="s">
        <v>144</v>
      </c>
      <c r="H171" s="270"/>
      <c r="I171" s="270"/>
      <c r="J171" s="270"/>
      <c r="K171" s="271"/>
      <c r="L171" s="271"/>
    </row>
    <row r="172" spans="1:12" ht="24.75" customHeight="1">
      <c r="A172" s="269">
        <v>55500000</v>
      </c>
      <c r="B172" s="269">
        <v>106.8</v>
      </c>
      <c r="C172" s="270" t="s">
        <v>184</v>
      </c>
      <c r="D172" s="270" t="s">
        <v>190</v>
      </c>
      <c r="E172" s="270">
        <v>1</v>
      </c>
      <c r="F172" s="270" t="s">
        <v>193</v>
      </c>
      <c r="G172" s="270" t="s">
        <v>144</v>
      </c>
      <c r="H172" s="270"/>
      <c r="I172" s="270"/>
      <c r="J172" s="270"/>
      <c r="K172" s="271"/>
      <c r="L172" s="271"/>
    </row>
    <row r="173" spans="1:12" ht="24.75" customHeight="1">
      <c r="A173" s="269">
        <v>60100000</v>
      </c>
      <c r="B173" s="269">
        <v>2700</v>
      </c>
      <c r="C173" s="270" t="s">
        <v>197</v>
      </c>
      <c r="D173" s="270" t="s">
        <v>190</v>
      </c>
      <c r="E173" s="270">
        <v>1</v>
      </c>
      <c r="F173" s="270" t="s">
        <v>186</v>
      </c>
      <c r="G173" s="270" t="s">
        <v>144</v>
      </c>
      <c r="H173" s="270"/>
      <c r="I173" s="270"/>
      <c r="J173" s="270"/>
      <c r="K173" s="271"/>
      <c r="L173" s="271"/>
    </row>
    <row r="174" spans="1:12" ht="24.75" customHeight="1">
      <c r="A174" s="269">
        <v>60100000</v>
      </c>
      <c r="B174" s="269">
        <v>72000</v>
      </c>
      <c r="C174" s="270" t="s">
        <v>197</v>
      </c>
      <c r="D174" s="270" t="s">
        <v>191</v>
      </c>
      <c r="E174" s="270">
        <v>1</v>
      </c>
      <c r="F174" s="270" t="s">
        <v>186</v>
      </c>
      <c r="G174" s="270" t="s">
        <v>144</v>
      </c>
      <c r="H174" s="270"/>
      <c r="I174" s="270"/>
      <c r="J174" s="270"/>
      <c r="K174" s="271"/>
      <c r="L174" s="271"/>
    </row>
    <row r="175" spans="1:12" ht="24.75" customHeight="1">
      <c r="A175" s="269">
        <v>60100000</v>
      </c>
      <c r="B175" s="269">
        <v>52000</v>
      </c>
      <c r="C175" s="270" t="s">
        <v>197</v>
      </c>
      <c r="D175" s="270" t="s">
        <v>191</v>
      </c>
      <c r="E175" s="270">
        <v>1</v>
      </c>
      <c r="F175" s="270" t="s">
        <v>186</v>
      </c>
      <c r="G175" s="270" t="s">
        <v>144</v>
      </c>
      <c r="H175" s="270"/>
      <c r="I175" s="270"/>
      <c r="J175" s="270"/>
      <c r="K175" s="271"/>
      <c r="L175" s="271"/>
    </row>
    <row r="176" spans="1:12" ht="24.75" customHeight="1">
      <c r="A176" s="269">
        <v>63100000</v>
      </c>
      <c r="B176" s="269">
        <v>560</v>
      </c>
      <c r="C176" s="270" t="s">
        <v>184</v>
      </c>
      <c r="D176" s="270" t="s">
        <v>191</v>
      </c>
      <c r="E176" s="270">
        <v>1</v>
      </c>
      <c r="F176" s="270" t="s">
        <v>186</v>
      </c>
      <c r="G176" s="270" t="s">
        <v>144</v>
      </c>
      <c r="H176" s="270"/>
      <c r="I176" s="270"/>
      <c r="J176" s="270"/>
      <c r="K176" s="271"/>
      <c r="L176" s="271"/>
    </row>
    <row r="177" spans="1:12" ht="24.75" customHeight="1">
      <c r="A177" s="269">
        <v>63500000</v>
      </c>
      <c r="B177" s="269">
        <v>4954</v>
      </c>
      <c r="C177" s="270" t="s">
        <v>184</v>
      </c>
      <c r="D177" s="270" t="s">
        <v>189</v>
      </c>
      <c r="E177" s="270">
        <v>1</v>
      </c>
      <c r="F177" s="270" t="s">
        <v>186</v>
      </c>
      <c r="G177" s="270" t="s">
        <v>144</v>
      </c>
      <c r="H177" s="270"/>
      <c r="I177" s="270"/>
      <c r="J177" s="270"/>
      <c r="K177" s="271"/>
      <c r="L177" s="271"/>
    </row>
    <row r="178" spans="1:12" ht="24.75" customHeight="1">
      <c r="A178" s="269">
        <v>63700000</v>
      </c>
      <c r="B178" s="269">
        <v>270</v>
      </c>
      <c r="C178" s="270" t="s">
        <v>184</v>
      </c>
      <c r="D178" s="270" t="s">
        <v>185</v>
      </c>
      <c r="E178" s="270">
        <v>1</v>
      </c>
      <c r="F178" s="270" t="s">
        <v>186</v>
      </c>
      <c r="G178" s="270" t="s">
        <v>144</v>
      </c>
      <c r="H178" s="270"/>
      <c r="I178" s="270"/>
      <c r="J178" s="270"/>
      <c r="K178" s="271"/>
      <c r="L178" s="271"/>
    </row>
    <row r="179" spans="1:12" ht="24.75" customHeight="1">
      <c r="A179" s="269">
        <v>66100000</v>
      </c>
      <c r="B179" s="269">
        <v>400</v>
      </c>
      <c r="C179" s="270" t="s">
        <v>184</v>
      </c>
      <c r="D179" s="270" t="s">
        <v>191</v>
      </c>
      <c r="E179" s="270">
        <v>1</v>
      </c>
      <c r="F179" s="270" t="s">
        <v>186</v>
      </c>
      <c r="G179" s="270" t="s">
        <v>144</v>
      </c>
      <c r="H179" s="270"/>
      <c r="I179" s="270"/>
      <c r="J179" s="270"/>
      <c r="K179" s="271"/>
      <c r="L179" s="271"/>
    </row>
    <row r="180" spans="1:12" ht="24.75" customHeight="1">
      <c r="A180" s="269">
        <v>66500000</v>
      </c>
      <c r="B180" s="269">
        <v>5193.54</v>
      </c>
      <c r="C180" s="270" t="s">
        <v>200</v>
      </c>
      <c r="D180" s="270" t="s">
        <v>185</v>
      </c>
      <c r="E180" s="270">
        <v>1</v>
      </c>
      <c r="F180" s="270"/>
      <c r="G180" s="270" t="s">
        <v>144</v>
      </c>
      <c r="H180" s="270"/>
      <c r="I180" s="270"/>
      <c r="J180" s="270"/>
      <c r="K180" s="271" t="s">
        <v>207</v>
      </c>
      <c r="L180" s="271"/>
    </row>
    <row r="181" spans="1:12" ht="24.75" customHeight="1">
      <c r="A181" s="269">
        <v>71300000</v>
      </c>
      <c r="B181" s="269">
        <v>600</v>
      </c>
      <c r="C181" s="270" t="s">
        <v>197</v>
      </c>
      <c r="D181" s="270" t="s">
        <v>185</v>
      </c>
      <c r="E181" s="270">
        <v>2</v>
      </c>
      <c r="F181" s="270" t="s">
        <v>186</v>
      </c>
      <c r="G181" s="270" t="s">
        <v>144</v>
      </c>
      <c r="H181" s="270"/>
      <c r="I181" s="270"/>
      <c r="J181" s="270"/>
      <c r="K181" s="271"/>
      <c r="L181" s="271" t="s">
        <v>208</v>
      </c>
    </row>
    <row r="182" spans="1:12" ht="24.75" customHeight="1">
      <c r="A182" s="269">
        <v>72200000</v>
      </c>
      <c r="B182" s="269">
        <v>10000</v>
      </c>
      <c r="C182" s="270" t="s">
        <v>184</v>
      </c>
      <c r="D182" s="270" t="s">
        <v>185</v>
      </c>
      <c r="E182" s="270">
        <v>1</v>
      </c>
      <c r="F182" s="270" t="s">
        <v>196</v>
      </c>
      <c r="G182" s="270" t="s">
        <v>144</v>
      </c>
      <c r="H182" s="270"/>
      <c r="I182" s="270"/>
      <c r="J182" s="270"/>
      <c r="K182" s="271"/>
      <c r="L182" s="271"/>
    </row>
    <row r="183" spans="1:12" ht="24.75" customHeight="1">
      <c r="A183" s="269">
        <v>72300000</v>
      </c>
      <c r="B183" s="269">
        <v>3000</v>
      </c>
      <c r="C183" s="270" t="s">
        <v>197</v>
      </c>
      <c r="D183" s="270" t="s">
        <v>190</v>
      </c>
      <c r="E183" s="270">
        <v>1</v>
      </c>
      <c r="F183" s="270" t="s">
        <v>186</v>
      </c>
      <c r="G183" s="270" t="s">
        <v>144</v>
      </c>
      <c r="H183" s="270"/>
      <c r="I183" s="270"/>
      <c r="J183" s="270"/>
      <c r="K183" s="271" t="s">
        <v>207</v>
      </c>
      <c r="L183" s="271"/>
    </row>
    <row r="184" spans="1:12" ht="24.75" customHeight="1">
      <c r="A184" s="269">
        <v>72500000</v>
      </c>
      <c r="B184" s="269">
        <v>6000</v>
      </c>
      <c r="C184" s="270" t="s">
        <v>197</v>
      </c>
      <c r="D184" s="270" t="s">
        <v>191</v>
      </c>
      <c r="E184" s="270">
        <v>1</v>
      </c>
      <c r="F184" s="270" t="s">
        <v>186</v>
      </c>
      <c r="G184" s="270" t="s">
        <v>144</v>
      </c>
      <c r="H184" s="270"/>
      <c r="I184" s="270"/>
      <c r="J184" s="270"/>
      <c r="K184" s="271"/>
      <c r="L184" s="271"/>
    </row>
    <row r="185" spans="1:12" ht="24.75" customHeight="1">
      <c r="A185" s="269">
        <v>72600000</v>
      </c>
      <c r="B185" s="269">
        <v>58572</v>
      </c>
      <c r="C185" s="270" t="s">
        <v>184</v>
      </c>
      <c r="D185" s="270" t="s">
        <v>185</v>
      </c>
      <c r="E185" s="270">
        <v>1</v>
      </c>
      <c r="F185" s="270" t="s">
        <v>196</v>
      </c>
      <c r="G185" s="270" t="s">
        <v>144</v>
      </c>
      <c r="H185" s="270"/>
      <c r="I185" s="270"/>
      <c r="J185" s="270"/>
      <c r="K185" s="271"/>
      <c r="L185" s="271"/>
    </row>
    <row r="186" spans="1:12" ht="24.75" customHeight="1">
      <c r="A186" s="269">
        <v>73100000</v>
      </c>
      <c r="B186" s="269">
        <v>2357.64</v>
      </c>
      <c r="C186" s="270" t="s">
        <v>184</v>
      </c>
      <c r="D186" s="270" t="s">
        <v>191</v>
      </c>
      <c r="E186" s="270">
        <v>1</v>
      </c>
      <c r="F186" s="270" t="s">
        <v>186</v>
      </c>
      <c r="G186" s="270" t="s">
        <v>144</v>
      </c>
      <c r="H186" s="270"/>
      <c r="I186" s="270"/>
      <c r="J186" s="270"/>
      <c r="K186" s="271"/>
      <c r="L186" s="271"/>
    </row>
    <row r="187" spans="1:12" ht="24.75" customHeight="1">
      <c r="A187" s="269">
        <v>75100000</v>
      </c>
      <c r="B187" s="269">
        <v>3545</v>
      </c>
      <c r="C187" s="270" t="s">
        <v>184</v>
      </c>
      <c r="D187" s="270" t="s">
        <v>185</v>
      </c>
      <c r="E187" s="270">
        <v>1</v>
      </c>
      <c r="F187" s="270" t="s">
        <v>199</v>
      </c>
      <c r="G187" s="270" t="s">
        <v>144</v>
      </c>
      <c r="H187" s="270"/>
      <c r="I187" s="270"/>
      <c r="J187" s="270"/>
      <c r="K187" s="271"/>
      <c r="L187" s="271"/>
    </row>
    <row r="188" spans="1:12" ht="24.75" customHeight="1">
      <c r="A188" s="269">
        <v>79200000</v>
      </c>
      <c r="B188" s="269">
        <v>4900</v>
      </c>
      <c r="C188" s="270" t="s">
        <v>184</v>
      </c>
      <c r="D188" s="270" t="s">
        <v>194</v>
      </c>
      <c r="E188" s="270">
        <v>1</v>
      </c>
      <c r="F188" s="270" t="s">
        <v>186</v>
      </c>
      <c r="G188" s="270" t="s">
        <v>144</v>
      </c>
      <c r="H188" s="270"/>
      <c r="I188" s="270"/>
      <c r="J188" s="270"/>
      <c r="K188" s="271"/>
      <c r="L188" s="271"/>
    </row>
    <row r="189" spans="1:12" ht="24.75" customHeight="1">
      <c r="A189" s="269">
        <v>79300000</v>
      </c>
      <c r="B189" s="269">
        <v>875</v>
      </c>
      <c r="C189" s="270" t="s">
        <v>184</v>
      </c>
      <c r="D189" s="270" t="s">
        <v>189</v>
      </c>
      <c r="E189" s="270">
        <v>1</v>
      </c>
      <c r="F189" s="270" t="s">
        <v>186</v>
      </c>
      <c r="G189" s="270" t="s">
        <v>144</v>
      </c>
      <c r="H189" s="270"/>
      <c r="I189" s="270"/>
      <c r="J189" s="270"/>
      <c r="K189" s="271"/>
      <c r="L189" s="271"/>
    </row>
    <row r="190" spans="1:12" ht="24.75" customHeight="1">
      <c r="A190" s="269">
        <v>79500000</v>
      </c>
      <c r="B190" s="269">
        <v>4900</v>
      </c>
      <c r="C190" s="270" t="s">
        <v>184</v>
      </c>
      <c r="D190" s="270" t="s">
        <v>185</v>
      </c>
      <c r="E190" s="270">
        <v>1</v>
      </c>
      <c r="F190" s="270" t="s">
        <v>186</v>
      </c>
      <c r="G190" s="270" t="s">
        <v>144</v>
      </c>
      <c r="H190" s="270"/>
      <c r="I190" s="270"/>
      <c r="J190" s="270"/>
      <c r="K190" s="271"/>
      <c r="L190" s="271"/>
    </row>
    <row r="191" spans="1:12" ht="24.75" customHeight="1">
      <c r="A191" s="269">
        <v>79600000</v>
      </c>
      <c r="B191" s="269">
        <v>3300</v>
      </c>
      <c r="C191" s="270" t="s">
        <v>184</v>
      </c>
      <c r="D191" s="270" t="s">
        <v>185</v>
      </c>
      <c r="E191" s="270">
        <v>1</v>
      </c>
      <c r="F191" s="270" t="s">
        <v>186</v>
      </c>
      <c r="G191" s="270" t="s">
        <v>144</v>
      </c>
      <c r="H191" s="270"/>
      <c r="I191" s="270"/>
      <c r="J191" s="270"/>
      <c r="K191" s="271"/>
      <c r="L191" s="271"/>
    </row>
    <row r="192" spans="1:12" ht="24.75" customHeight="1">
      <c r="A192" s="269">
        <v>79600000</v>
      </c>
      <c r="B192" s="269">
        <v>1000</v>
      </c>
      <c r="C192" s="270" t="s">
        <v>184</v>
      </c>
      <c r="D192" s="270" t="s">
        <v>185</v>
      </c>
      <c r="E192" s="270">
        <v>1</v>
      </c>
      <c r="F192" s="270" t="s">
        <v>186</v>
      </c>
      <c r="G192" s="270" t="s">
        <v>144</v>
      </c>
      <c r="H192" s="270"/>
      <c r="I192" s="270"/>
      <c r="J192" s="270"/>
      <c r="K192" s="271"/>
      <c r="L192" s="271"/>
    </row>
    <row r="193" spans="1:12" ht="24.75" customHeight="1">
      <c r="A193" s="269">
        <v>79800000</v>
      </c>
      <c r="B193" s="269">
        <v>4200</v>
      </c>
      <c r="C193" s="270" t="s">
        <v>197</v>
      </c>
      <c r="D193" s="270" t="s">
        <v>191</v>
      </c>
      <c r="E193" s="270">
        <v>1</v>
      </c>
      <c r="F193" s="270" t="s">
        <v>186</v>
      </c>
      <c r="G193" s="270" t="s">
        <v>144</v>
      </c>
      <c r="H193" s="270"/>
      <c r="I193" s="270"/>
      <c r="J193" s="270"/>
      <c r="K193" s="271"/>
      <c r="L193" s="271"/>
    </row>
    <row r="194" spans="1:12" ht="24.75" customHeight="1">
      <c r="A194" s="269">
        <v>79800000</v>
      </c>
      <c r="B194" s="272">
        <v>7365.32</v>
      </c>
      <c r="C194" s="270" t="s">
        <v>197</v>
      </c>
      <c r="D194" s="270" t="s">
        <v>185</v>
      </c>
      <c r="E194" s="270">
        <v>1</v>
      </c>
      <c r="F194" s="270" t="s">
        <v>186</v>
      </c>
      <c r="G194" s="270" t="s">
        <v>144</v>
      </c>
      <c r="H194" s="270"/>
      <c r="I194" s="270"/>
      <c r="J194" s="270"/>
      <c r="K194" s="271"/>
      <c r="L194" s="271"/>
    </row>
    <row r="195" spans="1:12" ht="24.75" customHeight="1">
      <c r="A195" s="269">
        <v>79800000</v>
      </c>
      <c r="B195" s="269">
        <v>4482.5</v>
      </c>
      <c r="C195" s="270" t="s">
        <v>197</v>
      </c>
      <c r="D195" s="270" t="s">
        <v>191</v>
      </c>
      <c r="E195" s="270">
        <v>1</v>
      </c>
      <c r="F195" s="270" t="s">
        <v>186</v>
      </c>
      <c r="G195" s="270" t="s">
        <v>144</v>
      </c>
      <c r="H195" s="270"/>
      <c r="I195" s="270"/>
      <c r="J195" s="270"/>
      <c r="K195" s="271"/>
      <c r="L195" s="271"/>
    </row>
    <row r="196" spans="1:12" ht="24.75" customHeight="1">
      <c r="A196" s="269">
        <v>79900000</v>
      </c>
      <c r="B196" s="269">
        <v>1210</v>
      </c>
      <c r="C196" s="270" t="s">
        <v>184</v>
      </c>
      <c r="D196" s="270" t="s">
        <v>192</v>
      </c>
      <c r="E196" s="270">
        <v>1</v>
      </c>
      <c r="F196" s="270" t="s">
        <v>193</v>
      </c>
      <c r="G196" s="270" t="s">
        <v>144</v>
      </c>
      <c r="H196" s="270"/>
      <c r="I196" s="270"/>
      <c r="J196" s="270"/>
      <c r="K196" s="271"/>
      <c r="L196" s="271"/>
    </row>
    <row r="197" spans="1:12" ht="24.75" customHeight="1">
      <c r="A197" s="269">
        <v>79900000</v>
      </c>
      <c r="B197" s="269">
        <v>532.76</v>
      </c>
      <c r="C197" s="270" t="s">
        <v>184</v>
      </c>
      <c r="D197" s="270" t="s">
        <v>192</v>
      </c>
      <c r="E197" s="270">
        <v>1</v>
      </c>
      <c r="F197" s="270" t="s">
        <v>193</v>
      </c>
      <c r="G197" s="270" t="s">
        <v>144</v>
      </c>
      <c r="H197" s="270"/>
      <c r="I197" s="270"/>
      <c r="J197" s="270"/>
      <c r="K197" s="271"/>
      <c r="L197" s="271"/>
    </row>
    <row r="198" spans="1:12" ht="24.75" customHeight="1">
      <c r="A198" s="269">
        <v>79900000</v>
      </c>
      <c r="B198" s="272">
        <v>1210</v>
      </c>
      <c r="C198" s="270" t="s">
        <v>184</v>
      </c>
      <c r="D198" s="270" t="s">
        <v>189</v>
      </c>
      <c r="E198" s="270">
        <v>1</v>
      </c>
      <c r="F198" s="270" t="s">
        <v>186</v>
      </c>
      <c r="G198" s="270" t="s">
        <v>144</v>
      </c>
      <c r="H198" s="270"/>
      <c r="I198" s="270"/>
      <c r="J198" s="270"/>
      <c r="K198" s="271"/>
      <c r="L198" s="271"/>
    </row>
    <row r="199" spans="1:12" ht="24.75" customHeight="1">
      <c r="A199" s="269">
        <v>80500000</v>
      </c>
      <c r="B199" s="269">
        <v>87787.66</v>
      </c>
      <c r="C199" s="270" t="s">
        <v>184</v>
      </c>
      <c r="D199" s="270" t="s">
        <v>194</v>
      </c>
      <c r="E199" s="270">
        <v>1</v>
      </c>
      <c r="F199" s="270" t="s">
        <v>196</v>
      </c>
      <c r="G199" s="270" t="s">
        <v>144</v>
      </c>
      <c r="H199" s="270"/>
      <c r="I199" s="270"/>
      <c r="J199" s="270"/>
      <c r="K199" s="271"/>
      <c r="L199" s="271"/>
    </row>
    <row r="200" spans="1:12" ht="24.75" customHeight="1">
      <c r="A200" s="269">
        <v>90400000</v>
      </c>
      <c r="B200" s="269">
        <v>625</v>
      </c>
      <c r="C200" s="270" t="s">
        <v>184</v>
      </c>
      <c r="D200" s="270" t="s">
        <v>191</v>
      </c>
      <c r="E200" s="270">
        <v>1</v>
      </c>
      <c r="F200" s="270" t="s">
        <v>186</v>
      </c>
      <c r="G200" s="270" t="s">
        <v>144</v>
      </c>
      <c r="H200" s="270"/>
      <c r="I200" s="270"/>
      <c r="J200" s="270"/>
      <c r="K200" s="271"/>
      <c r="L200" s="271"/>
    </row>
    <row r="201" spans="1:12" ht="24.75" customHeight="1">
      <c r="A201" s="269">
        <v>90900000</v>
      </c>
      <c r="B201" s="269">
        <v>1308.54</v>
      </c>
      <c r="C201" s="270" t="s">
        <v>184</v>
      </c>
      <c r="D201" s="270" t="s">
        <v>185</v>
      </c>
      <c r="E201" s="270">
        <v>1</v>
      </c>
      <c r="F201" s="270" t="s">
        <v>186</v>
      </c>
      <c r="G201" s="270" t="s">
        <v>144</v>
      </c>
      <c r="H201" s="270"/>
      <c r="I201" s="270"/>
      <c r="J201" s="270"/>
      <c r="K201" s="271"/>
      <c r="L201" s="271"/>
    </row>
    <row r="202" spans="1:12" ht="24.75" customHeight="1">
      <c r="A202" s="269">
        <v>90900000</v>
      </c>
      <c r="B202" s="269">
        <v>2700</v>
      </c>
      <c r="C202" s="270" t="s">
        <v>184</v>
      </c>
      <c r="D202" s="270" t="s">
        <v>191</v>
      </c>
      <c r="E202" s="270">
        <v>1</v>
      </c>
      <c r="F202" s="270" t="s">
        <v>186</v>
      </c>
      <c r="G202" s="270" t="s">
        <v>144</v>
      </c>
      <c r="H202" s="270"/>
      <c r="I202" s="270"/>
      <c r="J202" s="270"/>
      <c r="K202" s="271"/>
      <c r="L202" s="271"/>
    </row>
    <row r="203" spans="1:12" ht="24.75" customHeight="1">
      <c r="A203" s="269">
        <v>90900000</v>
      </c>
      <c r="B203" s="269">
        <v>360</v>
      </c>
      <c r="C203" s="270" t="s">
        <v>184</v>
      </c>
      <c r="D203" s="270" t="s">
        <v>188</v>
      </c>
      <c r="E203" s="270">
        <v>1</v>
      </c>
      <c r="F203" s="270" t="s">
        <v>186</v>
      </c>
      <c r="G203" s="270" t="s">
        <v>144</v>
      </c>
      <c r="H203" s="270"/>
      <c r="I203" s="270"/>
      <c r="J203" s="270"/>
      <c r="K203" s="271"/>
      <c r="L203" s="271"/>
    </row>
    <row r="204" spans="1:12" ht="24.75" customHeight="1">
      <c r="A204" s="269">
        <v>92100000</v>
      </c>
      <c r="B204" s="272">
        <v>6900</v>
      </c>
      <c r="C204" s="270" t="s">
        <v>197</v>
      </c>
      <c r="D204" s="270" t="s">
        <v>185</v>
      </c>
      <c r="E204" s="270">
        <v>1</v>
      </c>
      <c r="F204" s="270" t="s">
        <v>186</v>
      </c>
      <c r="G204" s="270" t="s">
        <v>144</v>
      </c>
      <c r="H204" s="270"/>
      <c r="I204" s="270"/>
      <c r="J204" s="270"/>
      <c r="K204" s="271"/>
      <c r="L204" s="271"/>
    </row>
    <row r="205" spans="1:12" ht="24.75" customHeight="1">
      <c r="A205" s="269">
        <v>92100000</v>
      </c>
      <c r="B205" s="272">
        <v>36491.4</v>
      </c>
      <c r="C205" s="270" t="s">
        <v>197</v>
      </c>
      <c r="D205" s="270" t="s">
        <v>185</v>
      </c>
      <c r="E205" s="270">
        <v>1</v>
      </c>
      <c r="F205" s="270" t="s">
        <v>186</v>
      </c>
      <c r="G205" s="270" t="s">
        <v>144</v>
      </c>
      <c r="H205" s="270"/>
      <c r="I205" s="270"/>
      <c r="J205" s="270"/>
      <c r="K205" s="271" t="s">
        <v>201</v>
      </c>
      <c r="L205" s="271"/>
    </row>
    <row r="206" spans="1:12" ht="24.75" customHeight="1">
      <c r="A206" s="269">
        <v>92100000</v>
      </c>
      <c r="B206" s="269">
        <v>17980</v>
      </c>
      <c r="C206" s="270" t="s">
        <v>197</v>
      </c>
      <c r="D206" s="270" t="s">
        <v>185</v>
      </c>
      <c r="E206" s="270">
        <v>1</v>
      </c>
      <c r="F206" s="270" t="s">
        <v>186</v>
      </c>
      <c r="G206" s="270" t="s">
        <v>144</v>
      </c>
      <c r="H206" s="270"/>
      <c r="I206" s="270"/>
      <c r="J206" s="270"/>
      <c r="K206" s="271"/>
      <c r="L206" s="271"/>
    </row>
    <row r="207" spans="1:12" ht="24.75" customHeight="1">
      <c r="A207" s="269">
        <v>92200000</v>
      </c>
      <c r="B207" s="269">
        <v>500</v>
      </c>
      <c r="C207" s="270" t="s">
        <v>184</v>
      </c>
      <c r="D207" s="270" t="s">
        <v>190</v>
      </c>
      <c r="E207" s="270">
        <v>1</v>
      </c>
      <c r="F207" s="270" t="s">
        <v>186</v>
      </c>
      <c r="G207" s="270" t="s">
        <v>144</v>
      </c>
      <c r="H207" s="270"/>
      <c r="I207" s="270"/>
      <c r="J207" s="270"/>
      <c r="K207" s="271"/>
      <c r="L207" s="271"/>
    </row>
    <row r="208" spans="1:12" ht="24.75" customHeight="1">
      <c r="A208" s="269">
        <v>92200000</v>
      </c>
      <c r="B208" s="269">
        <v>366</v>
      </c>
      <c r="C208" s="270" t="s">
        <v>184</v>
      </c>
      <c r="D208" s="270" t="s">
        <v>185</v>
      </c>
      <c r="E208" s="270">
        <v>1</v>
      </c>
      <c r="F208" s="270" t="s">
        <v>186</v>
      </c>
      <c r="G208" s="270" t="s">
        <v>144</v>
      </c>
      <c r="H208" s="270"/>
      <c r="I208" s="270"/>
      <c r="J208" s="270"/>
      <c r="K208" s="271"/>
      <c r="L208" s="271"/>
    </row>
    <row r="209" spans="1:12" ht="24.75" customHeight="1">
      <c r="A209" s="269">
        <v>92200000</v>
      </c>
      <c r="B209" s="269">
        <v>2281.4</v>
      </c>
      <c r="C209" s="270" t="s">
        <v>184</v>
      </c>
      <c r="D209" s="270" t="s">
        <v>191</v>
      </c>
      <c r="E209" s="270">
        <v>1</v>
      </c>
      <c r="F209" s="270" t="s">
        <v>186</v>
      </c>
      <c r="G209" s="270" t="s">
        <v>144</v>
      </c>
      <c r="H209" s="270"/>
      <c r="I209" s="270"/>
      <c r="J209" s="270"/>
      <c r="K209" s="271"/>
      <c r="L209" s="271"/>
    </row>
    <row r="210" spans="1:12" ht="24.75" customHeight="1">
      <c r="A210" s="269">
        <v>92300000</v>
      </c>
      <c r="B210" s="269">
        <v>4900</v>
      </c>
      <c r="C210" s="270" t="s">
        <v>184</v>
      </c>
      <c r="D210" s="270" t="s">
        <v>185</v>
      </c>
      <c r="E210" s="270">
        <v>1</v>
      </c>
      <c r="F210" s="270" t="s">
        <v>186</v>
      </c>
      <c r="G210" s="270" t="s">
        <v>144</v>
      </c>
      <c r="H210" s="270"/>
      <c r="I210" s="270"/>
      <c r="J210" s="270"/>
      <c r="K210" s="271"/>
      <c r="L210" s="271"/>
    </row>
    <row r="211" spans="1:12" ht="24.75" customHeight="1">
      <c r="A211" s="269">
        <v>92400000</v>
      </c>
      <c r="B211" s="269">
        <v>1500</v>
      </c>
      <c r="C211" s="270" t="s">
        <v>184</v>
      </c>
      <c r="D211" s="270" t="s">
        <v>188</v>
      </c>
      <c r="E211" s="270">
        <v>1</v>
      </c>
      <c r="F211" s="270" t="s">
        <v>186</v>
      </c>
      <c r="G211" s="270" t="s">
        <v>144</v>
      </c>
      <c r="H211" s="270"/>
      <c r="I211" s="270"/>
      <c r="J211" s="270"/>
      <c r="K211" s="271"/>
      <c r="L211" s="271"/>
    </row>
    <row r="212" spans="1:12" ht="24.75" customHeight="1">
      <c r="A212" s="269">
        <v>98300000</v>
      </c>
      <c r="B212" s="269">
        <v>200</v>
      </c>
      <c r="C212" s="270" t="s">
        <v>184</v>
      </c>
      <c r="D212" s="270" t="s">
        <v>189</v>
      </c>
      <c r="E212" s="270">
        <v>1</v>
      </c>
      <c r="F212" s="270" t="s">
        <v>186</v>
      </c>
      <c r="G212" s="270" t="s">
        <v>144</v>
      </c>
      <c r="H212" s="270"/>
      <c r="I212" s="270"/>
      <c r="J212" s="270"/>
      <c r="K212" s="271"/>
      <c r="L212" s="271"/>
    </row>
    <row r="213" spans="1:12" ht="24.75" customHeight="1">
      <c r="A213" s="269">
        <v>98300000</v>
      </c>
      <c r="B213" s="269">
        <v>2862.2</v>
      </c>
      <c r="C213" s="270" t="s">
        <v>184</v>
      </c>
      <c r="D213" s="270" t="s">
        <v>191</v>
      </c>
      <c r="E213" s="270">
        <v>1</v>
      </c>
      <c r="F213" s="270" t="s">
        <v>186</v>
      </c>
      <c r="G213" s="270" t="s">
        <v>144</v>
      </c>
      <c r="H213" s="270"/>
      <c r="I213" s="270"/>
      <c r="J213" s="270"/>
      <c r="K213" s="271"/>
      <c r="L213" s="271"/>
    </row>
    <row r="214" spans="1:12" ht="24.75" customHeight="1">
      <c r="A214" s="269">
        <v>98300000</v>
      </c>
      <c r="B214" s="269">
        <v>50</v>
      </c>
      <c r="C214" s="270" t="s">
        <v>184</v>
      </c>
      <c r="D214" s="270" t="s">
        <v>185</v>
      </c>
      <c r="E214" s="270">
        <v>1</v>
      </c>
      <c r="F214" s="270" t="s">
        <v>186</v>
      </c>
      <c r="G214" s="270" t="s">
        <v>144</v>
      </c>
      <c r="H214" s="270"/>
      <c r="I214" s="270"/>
      <c r="J214" s="270"/>
      <c r="K214" s="271"/>
      <c r="L214" s="271"/>
    </row>
    <row r="215" spans="1:12" ht="24.75" customHeight="1">
      <c r="A215" s="269">
        <v>98300000</v>
      </c>
      <c r="B215" s="269">
        <v>50</v>
      </c>
      <c r="C215" s="270" t="s">
        <v>184</v>
      </c>
      <c r="D215" s="270" t="s">
        <v>185</v>
      </c>
      <c r="E215" s="270">
        <v>1</v>
      </c>
      <c r="F215" s="270" t="s">
        <v>186</v>
      </c>
      <c r="G215" s="270" t="s">
        <v>144</v>
      </c>
      <c r="H215" s="270"/>
      <c r="I215" s="270"/>
      <c r="J215" s="270"/>
      <c r="K215" s="271"/>
      <c r="L215" s="271"/>
    </row>
    <row r="216" spans="1:12" ht="24.75" customHeight="1">
      <c r="A216" s="269">
        <v>98300000</v>
      </c>
      <c r="B216" s="269">
        <v>236</v>
      </c>
      <c r="C216" s="270" t="s">
        <v>184</v>
      </c>
      <c r="D216" s="270" t="s">
        <v>194</v>
      </c>
      <c r="E216" s="270">
        <v>1</v>
      </c>
      <c r="F216" s="270" t="s">
        <v>186</v>
      </c>
      <c r="G216" s="270" t="s">
        <v>144</v>
      </c>
      <c r="H216" s="270"/>
      <c r="I216" s="270"/>
      <c r="J216" s="270"/>
      <c r="K216" s="271"/>
      <c r="L216" s="271"/>
    </row>
    <row r="217" spans="1:12" ht="24.75" customHeight="1">
      <c r="A217" s="277" t="s">
        <v>209</v>
      </c>
      <c r="B217" s="277">
        <f>SUM(B114:B216)</f>
        <v>1440077.0699999996</v>
      </c>
      <c r="C217" s="278"/>
      <c r="D217" s="278"/>
      <c r="E217" s="278"/>
      <c r="F217" s="278"/>
      <c r="G217" s="278"/>
      <c r="H217" s="278"/>
      <c r="I217" s="278"/>
      <c r="J217" s="278"/>
      <c r="K217" s="278"/>
      <c r="L217" s="278"/>
    </row>
    <row r="218" spans="1:12" ht="24.75" customHeight="1">
      <c r="A218" s="277" t="s">
        <v>210</v>
      </c>
      <c r="B218" s="277">
        <f>B113+B217</f>
        <v>1776545.5899999996</v>
      </c>
      <c r="C218" s="278"/>
      <c r="D218" s="278"/>
      <c r="E218" s="278"/>
      <c r="F218" s="278"/>
      <c r="G218" s="278"/>
      <c r="H218" s="278"/>
      <c r="I218" s="278"/>
      <c r="J218" s="278"/>
      <c r="K218" s="278"/>
      <c r="L218" s="278"/>
    </row>
    <row r="219" spans="1:12" ht="24.75" customHeight="1">
      <c r="A219" s="279" t="s">
        <v>211</v>
      </c>
      <c r="B219" s="279"/>
      <c r="C219" s="279"/>
      <c r="D219" s="279"/>
      <c r="E219" s="279"/>
      <c r="F219" s="279"/>
      <c r="G219" s="279"/>
      <c r="H219" s="279"/>
      <c r="I219" s="279"/>
      <c r="J219" s="279"/>
      <c r="K219" s="279"/>
      <c r="L219" s="279"/>
    </row>
  </sheetData>
  <sheetProtection/>
  <mergeCells count="7">
    <mergeCell ref="A219:L219"/>
    <mergeCell ref="A1:L1"/>
    <mergeCell ref="A2:L2"/>
    <mergeCell ref="A3:L3"/>
    <mergeCell ref="C113:L113"/>
    <mergeCell ref="C217:L217"/>
    <mergeCell ref="C218:L21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C544"/>
  <sheetViews>
    <sheetView view="pageBreakPreview" zoomScale="110" zoomScaleSheetLayoutView="110" zoomScalePageLayoutView="0" workbookViewId="0" topLeftCell="A1">
      <selection activeCell="A22" sqref="A22"/>
    </sheetView>
  </sheetViews>
  <sheetFormatPr defaultColWidth="9.140625" defaultRowHeight="15"/>
  <cols>
    <col min="1" max="1" width="85.28125" style="56" customWidth="1"/>
    <col min="2" max="2" width="19.7109375" style="57" customWidth="1"/>
    <col min="3" max="16384" width="9.140625" style="56" customWidth="1"/>
  </cols>
  <sheetData>
    <row r="1" spans="1:3" ht="42" customHeight="1">
      <c r="A1" s="180" t="s">
        <v>105</v>
      </c>
      <c r="B1" s="180"/>
      <c r="C1" s="81"/>
    </row>
    <row r="2" spans="1:2" s="29" customFormat="1" ht="78.75" customHeight="1">
      <c r="A2" s="224" t="s">
        <v>155</v>
      </c>
      <c r="B2" s="224"/>
    </row>
    <row r="3" spans="1:2" ht="24.75" customHeight="1">
      <c r="A3" s="225" t="s">
        <v>49</v>
      </c>
      <c r="B3" s="225"/>
    </row>
    <row r="4" spans="1:2" s="62" customFormat="1" ht="66.75" customHeight="1">
      <c r="A4" s="60" t="s">
        <v>156</v>
      </c>
      <c r="B4" s="61">
        <v>28044.87</v>
      </c>
    </row>
    <row r="5" spans="1:2" ht="48" customHeight="1">
      <c r="A5" s="226" t="s">
        <v>113</v>
      </c>
      <c r="B5" s="226"/>
    </row>
    <row r="6" ht="26.25" customHeight="1">
      <c r="B6" s="56"/>
    </row>
    <row r="7" ht="12.75">
      <c r="B7" s="56"/>
    </row>
    <row r="8" ht="12.75">
      <c r="B8" s="56"/>
    </row>
    <row r="9" ht="12.75">
      <c r="B9" s="56"/>
    </row>
    <row r="10" ht="12.75">
      <c r="B10" s="56"/>
    </row>
    <row r="11" ht="12.75">
      <c r="B11" s="56"/>
    </row>
    <row r="12" ht="12.75">
      <c r="B12" s="56"/>
    </row>
    <row r="13" ht="12.75">
      <c r="B13" s="56"/>
    </row>
    <row r="14" ht="12.75">
      <c r="B14" s="56"/>
    </row>
    <row r="15" ht="12.75">
      <c r="B15" s="56"/>
    </row>
    <row r="16" ht="12.75">
      <c r="B16" s="56"/>
    </row>
    <row r="17" ht="12.75">
      <c r="B17" s="56"/>
    </row>
    <row r="18" ht="12.75">
      <c r="B18" s="56"/>
    </row>
    <row r="19" ht="12.75">
      <c r="B19" s="56"/>
    </row>
    <row r="20" ht="12.75">
      <c r="B20" s="56"/>
    </row>
    <row r="21" ht="12.75">
      <c r="B21" s="56"/>
    </row>
    <row r="22" ht="12.75">
      <c r="B22" s="56"/>
    </row>
    <row r="23" ht="12.75">
      <c r="B23" s="56"/>
    </row>
    <row r="24" ht="12.75">
      <c r="B24" s="56"/>
    </row>
    <row r="25" ht="12.75">
      <c r="B25" s="56"/>
    </row>
    <row r="26" ht="12.75">
      <c r="B26" s="56"/>
    </row>
    <row r="27" ht="12.75">
      <c r="B27" s="56"/>
    </row>
    <row r="28" ht="12.75">
      <c r="B28" s="56"/>
    </row>
    <row r="29" ht="12.75">
      <c r="B29" s="56"/>
    </row>
    <row r="30" ht="12.75">
      <c r="B30" s="56"/>
    </row>
    <row r="31" ht="12.75">
      <c r="B31" s="56"/>
    </row>
    <row r="32" ht="12.75">
      <c r="B32" s="56"/>
    </row>
    <row r="33" ht="12.75">
      <c r="B33" s="56"/>
    </row>
    <row r="34" ht="12.75">
      <c r="B34" s="56"/>
    </row>
    <row r="35" ht="12.75">
      <c r="B35" s="56"/>
    </row>
    <row r="36" ht="12.75">
      <c r="B36" s="56"/>
    </row>
    <row r="37" ht="12.75">
      <c r="B37" s="56"/>
    </row>
    <row r="38" ht="12.75">
      <c r="B38" s="56"/>
    </row>
    <row r="39" ht="12.75">
      <c r="B39" s="56"/>
    </row>
    <row r="40" ht="12.75">
      <c r="B40" s="56"/>
    </row>
    <row r="41" ht="12.75">
      <c r="B41" s="56"/>
    </row>
    <row r="42" ht="12.75">
      <c r="B42" s="56"/>
    </row>
    <row r="43" ht="12.75">
      <c r="B43" s="56"/>
    </row>
    <row r="44" ht="12.75">
      <c r="B44" s="56"/>
    </row>
    <row r="45" ht="12.75">
      <c r="B45" s="56"/>
    </row>
    <row r="46" ht="12.75">
      <c r="B46" s="56"/>
    </row>
    <row r="47" ht="12.75">
      <c r="B47" s="56"/>
    </row>
    <row r="48" ht="12.75">
      <c r="B48" s="56"/>
    </row>
    <row r="49" ht="12.75">
      <c r="B49" s="56"/>
    </row>
    <row r="50" ht="12.75">
      <c r="B50" s="56"/>
    </row>
    <row r="51" ht="12.75">
      <c r="B51" s="56"/>
    </row>
    <row r="52" ht="12.75">
      <c r="B52" s="56"/>
    </row>
    <row r="53" ht="12.75">
      <c r="B53" s="56"/>
    </row>
    <row r="54" ht="12.75">
      <c r="B54" s="56"/>
    </row>
    <row r="55" ht="12.75">
      <c r="B55" s="56"/>
    </row>
    <row r="56" ht="12.75">
      <c r="B56" s="56"/>
    </row>
    <row r="57" ht="12.75">
      <c r="B57" s="56"/>
    </row>
    <row r="58" ht="12.75">
      <c r="B58" s="56"/>
    </row>
    <row r="59" ht="12.75">
      <c r="B59" s="56"/>
    </row>
    <row r="60" ht="12.75">
      <c r="B60" s="56"/>
    </row>
    <row r="61" ht="12.75">
      <c r="B61" s="56"/>
    </row>
    <row r="62" ht="12.75">
      <c r="B62" s="56"/>
    </row>
    <row r="63" ht="12.75">
      <c r="B63" s="56"/>
    </row>
    <row r="64" ht="12.75">
      <c r="B64" s="56"/>
    </row>
    <row r="65" ht="12.75">
      <c r="B65" s="56"/>
    </row>
    <row r="66" ht="12.75">
      <c r="B66" s="56"/>
    </row>
    <row r="67" ht="12.75">
      <c r="B67" s="56"/>
    </row>
    <row r="68" ht="12.75">
      <c r="B68" s="56"/>
    </row>
    <row r="69" ht="12.75">
      <c r="B69" s="56"/>
    </row>
    <row r="70" ht="12.75">
      <c r="B70" s="56"/>
    </row>
    <row r="71" ht="12.75">
      <c r="B71" s="56"/>
    </row>
    <row r="72" ht="12.75">
      <c r="B72" s="56"/>
    </row>
    <row r="73" ht="12.75">
      <c r="B73" s="56"/>
    </row>
    <row r="74" ht="12.75">
      <c r="B74" s="56"/>
    </row>
    <row r="75" ht="12.75">
      <c r="B75" s="56"/>
    </row>
    <row r="76" ht="12.75">
      <c r="B76" s="56"/>
    </row>
    <row r="77" ht="12.75">
      <c r="B77" s="56"/>
    </row>
    <row r="78" ht="12.75">
      <c r="B78" s="56"/>
    </row>
    <row r="79" ht="12.75">
      <c r="B79" s="56"/>
    </row>
    <row r="80" ht="12.75">
      <c r="B80" s="56"/>
    </row>
    <row r="81" ht="12.75">
      <c r="B81" s="56"/>
    </row>
    <row r="82" ht="12.75">
      <c r="B82" s="56"/>
    </row>
    <row r="83" ht="12.75">
      <c r="B83" s="56"/>
    </row>
    <row r="84" ht="12.75">
      <c r="B84" s="56"/>
    </row>
    <row r="85" ht="12.75">
      <c r="B85" s="56"/>
    </row>
    <row r="86" ht="12.75">
      <c r="B86" s="56"/>
    </row>
    <row r="87" ht="12.75">
      <c r="B87" s="56"/>
    </row>
    <row r="88" ht="12.75">
      <c r="B88" s="56"/>
    </row>
    <row r="89" ht="12.75">
      <c r="B89" s="56"/>
    </row>
    <row r="90" ht="12.75">
      <c r="B90" s="56"/>
    </row>
    <row r="91" ht="12.75">
      <c r="B91" s="56"/>
    </row>
    <row r="92" ht="12.75">
      <c r="B92" s="56"/>
    </row>
    <row r="93" ht="12.75">
      <c r="B93" s="56"/>
    </row>
    <row r="94" ht="12.75">
      <c r="B94" s="56"/>
    </row>
    <row r="95" ht="12.75">
      <c r="B95" s="56"/>
    </row>
    <row r="96" ht="12.75">
      <c r="B96" s="56"/>
    </row>
    <row r="97" ht="12.75">
      <c r="B97" s="56"/>
    </row>
    <row r="98" ht="12.75">
      <c r="B98" s="56"/>
    </row>
    <row r="99" ht="12.75">
      <c r="B99" s="56"/>
    </row>
    <row r="100" ht="12.75">
      <c r="B100" s="56"/>
    </row>
    <row r="101" ht="12.75">
      <c r="B101" s="56"/>
    </row>
    <row r="102" ht="12.75">
      <c r="B102" s="56"/>
    </row>
    <row r="103" ht="12.75">
      <c r="B103" s="56"/>
    </row>
    <row r="104" ht="12.75">
      <c r="B104" s="56"/>
    </row>
    <row r="105" ht="12.75">
      <c r="B105" s="56"/>
    </row>
    <row r="106" ht="12.75">
      <c r="B106" s="56"/>
    </row>
    <row r="107" ht="12.75">
      <c r="B107" s="56"/>
    </row>
    <row r="108" ht="12.75">
      <c r="B108" s="56"/>
    </row>
    <row r="109" ht="12.75">
      <c r="B109" s="56"/>
    </row>
    <row r="110" ht="12.75">
      <c r="B110" s="56"/>
    </row>
    <row r="111" ht="12.75">
      <c r="B111" s="56"/>
    </row>
    <row r="112" ht="12.75">
      <c r="B112" s="56"/>
    </row>
    <row r="113" ht="12.75">
      <c r="B113" s="56"/>
    </row>
    <row r="114" ht="12.75">
      <c r="B114" s="56"/>
    </row>
    <row r="115" ht="12.75">
      <c r="B115" s="56"/>
    </row>
    <row r="116" ht="12.75">
      <c r="B116" s="56"/>
    </row>
    <row r="117" ht="12.75">
      <c r="B117" s="56"/>
    </row>
    <row r="118" ht="12.75">
      <c r="B118" s="56"/>
    </row>
    <row r="119" ht="12.75">
      <c r="B119" s="56"/>
    </row>
    <row r="120" ht="12.75">
      <c r="B120" s="56"/>
    </row>
    <row r="121" ht="12.75">
      <c r="B121" s="56"/>
    </row>
    <row r="122" ht="12.75">
      <c r="B122" s="56"/>
    </row>
    <row r="123" ht="12.75">
      <c r="B123" s="56"/>
    </row>
    <row r="124" ht="12.75">
      <c r="B124" s="56"/>
    </row>
    <row r="125" ht="12.75">
      <c r="B125" s="56"/>
    </row>
    <row r="126" ht="12.75">
      <c r="B126" s="56"/>
    </row>
    <row r="127" ht="12.75">
      <c r="B127" s="56"/>
    </row>
    <row r="128" ht="12.75">
      <c r="B128" s="56"/>
    </row>
    <row r="129" ht="12.75">
      <c r="B129" s="56"/>
    </row>
    <row r="130" ht="12.75">
      <c r="B130" s="56"/>
    </row>
    <row r="131" ht="12.75">
      <c r="B131" s="56"/>
    </row>
    <row r="132" ht="12.75">
      <c r="B132" s="56"/>
    </row>
    <row r="133" ht="12.75">
      <c r="B133" s="56"/>
    </row>
    <row r="134" ht="12.75">
      <c r="B134" s="56"/>
    </row>
    <row r="135" ht="12.75">
      <c r="B135" s="56"/>
    </row>
    <row r="136" ht="12.75">
      <c r="B136" s="56"/>
    </row>
    <row r="137" ht="12.75">
      <c r="B137" s="56"/>
    </row>
    <row r="138" ht="12.75">
      <c r="B138" s="56"/>
    </row>
    <row r="139" ht="12.75">
      <c r="B139" s="56"/>
    </row>
    <row r="140" ht="12.75">
      <c r="B140" s="56"/>
    </row>
    <row r="141" ht="12.75">
      <c r="B141" s="56"/>
    </row>
    <row r="142" ht="12.75">
      <c r="B142" s="56"/>
    </row>
    <row r="143" ht="12.75">
      <c r="B143" s="56"/>
    </row>
    <row r="144" ht="12.75">
      <c r="B144" s="56"/>
    </row>
    <row r="145" ht="12.75">
      <c r="B145" s="56"/>
    </row>
    <row r="146" ht="12.75">
      <c r="B146" s="56"/>
    </row>
    <row r="147" ht="12.75">
      <c r="B147" s="56"/>
    </row>
    <row r="148" ht="12.75">
      <c r="B148" s="56"/>
    </row>
    <row r="149" ht="12.75">
      <c r="B149" s="56"/>
    </row>
    <row r="150" ht="12.75">
      <c r="B150" s="56"/>
    </row>
    <row r="151" ht="12.75">
      <c r="B151" s="56"/>
    </row>
    <row r="152" ht="12.75">
      <c r="B152" s="56"/>
    </row>
    <row r="153" ht="12.75">
      <c r="B153" s="56"/>
    </row>
    <row r="154" ht="12.75">
      <c r="B154" s="56"/>
    </row>
    <row r="155" ht="12.75">
      <c r="B155" s="56"/>
    </row>
    <row r="156" ht="12.75">
      <c r="B156" s="56"/>
    </row>
    <row r="157" ht="12.75">
      <c r="B157" s="56"/>
    </row>
    <row r="158" ht="12.75">
      <c r="B158" s="56"/>
    </row>
    <row r="159" ht="12.75">
      <c r="B159" s="56"/>
    </row>
    <row r="160" ht="12.75">
      <c r="B160" s="56"/>
    </row>
    <row r="161" ht="12.75">
      <c r="B161" s="56"/>
    </row>
    <row r="162" ht="12.75">
      <c r="B162" s="56"/>
    </row>
    <row r="163" ht="12.75">
      <c r="B163" s="56"/>
    </row>
    <row r="164" ht="12.75">
      <c r="B164" s="56"/>
    </row>
    <row r="165" ht="12.75">
      <c r="B165" s="56"/>
    </row>
    <row r="166" ht="12.75">
      <c r="B166" s="56"/>
    </row>
    <row r="167" ht="12.75">
      <c r="B167" s="56"/>
    </row>
    <row r="168" ht="12.75">
      <c r="B168" s="56"/>
    </row>
    <row r="169" ht="12.75">
      <c r="B169" s="56"/>
    </row>
    <row r="170" ht="12.75">
      <c r="B170" s="56"/>
    </row>
    <row r="171" ht="12.75">
      <c r="B171" s="56"/>
    </row>
    <row r="172" ht="12.75">
      <c r="B172" s="56"/>
    </row>
    <row r="173" ht="12.75">
      <c r="B173" s="56"/>
    </row>
    <row r="174" ht="12.75">
      <c r="B174" s="56"/>
    </row>
    <row r="175" ht="12.75">
      <c r="B175" s="56"/>
    </row>
    <row r="176" ht="12.75">
      <c r="B176" s="56"/>
    </row>
    <row r="177" ht="12.75">
      <c r="B177" s="56"/>
    </row>
    <row r="178" ht="12.75">
      <c r="B178" s="56"/>
    </row>
    <row r="179" ht="12.75">
      <c r="B179" s="56"/>
    </row>
    <row r="180" ht="12.75">
      <c r="B180" s="56"/>
    </row>
    <row r="181" ht="12.75">
      <c r="B181" s="56"/>
    </row>
    <row r="182" ht="12.75">
      <c r="B182" s="56"/>
    </row>
    <row r="183" ht="12.75">
      <c r="B183" s="56"/>
    </row>
    <row r="184" ht="12.75">
      <c r="B184" s="56"/>
    </row>
    <row r="185" ht="12.75">
      <c r="B185" s="56"/>
    </row>
    <row r="186" ht="12.75">
      <c r="B186" s="56"/>
    </row>
    <row r="187" ht="12.75">
      <c r="B187" s="56"/>
    </row>
    <row r="188" ht="12.75">
      <c r="B188" s="56"/>
    </row>
    <row r="189" ht="12.75">
      <c r="B189" s="56"/>
    </row>
    <row r="190" ht="12.75">
      <c r="B190" s="56"/>
    </row>
    <row r="191" ht="12.75">
      <c r="B191" s="56"/>
    </row>
    <row r="192" ht="12.75">
      <c r="B192" s="56"/>
    </row>
    <row r="193" ht="12.75">
      <c r="B193" s="56"/>
    </row>
    <row r="194" ht="12.75">
      <c r="B194" s="56"/>
    </row>
    <row r="195" ht="12.75">
      <c r="B195" s="56"/>
    </row>
    <row r="196" ht="12.75">
      <c r="B196" s="56"/>
    </row>
    <row r="197" ht="12.75">
      <c r="B197" s="56"/>
    </row>
    <row r="198" ht="12.75">
      <c r="B198" s="56"/>
    </row>
    <row r="199" ht="12.75">
      <c r="B199" s="56"/>
    </row>
    <row r="200" ht="12.75">
      <c r="B200" s="56"/>
    </row>
    <row r="201" ht="12.75">
      <c r="B201" s="56"/>
    </row>
    <row r="202" ht="12.75">
      <c r="B202" s="56"/>
    </row>
    <row r="203" ht="12.75">
      <c r="B203" s="56"/>
    </row>
    <row r="204" ht="12.75">
      <c r="B204" s="56"/>
    </row>
    <row r="205" ht="12.75">
      <c r="B205" s="56"/>
    </row>
    <row r="206" ht="12.75">
      <c r="B206" s="56"/>
    </row>
    <row r="207" ht="12.75">
      <c r="B207" s="56"/>
    </row>
    <row r="208" ht="12.75">
      <c r="B208" s="56"/>
    </row>
    <row r="209" ht="12.75">
      <c r="B209" s="56"/>
    </row>
    <row r="210" ht="12.75">
      <c r="B210" s="56"/>
    </row>
    <row r="211" ht="12.75">
      <c r="B211" s="56"/>
    </row>
    <row r="212" ht="12.75">
      <c r="B212" s="56"/>
    </row>
    <row r="213" ht="12.75">
      <c r="B213" s="56"/>
    </row>
    <row r="214" ht="12.75">
      <c r="B214" s="56"/>
    </row>
    <row r="215" ht="12.75">
      <c r="B215" s="56"/>
    </row>
    <row r="216" ht="12.75">
      <c r="B216" s="56"/>
    </row>
    <row r="217" ht="12.75">
      <c r="B217" s="56"/>
    </row>
    <row r="218" ht="12.75">
      <c r="B218" s="56"/>
    </row>
    <row r="219" ht="12.75">
      <c r="B219" s="56"/>
    </row>
    <row r="220" ht="12.75">
      <c r="B220" s="56"/>
    </row>
    <row r="221" ht="12.75">
      <c r="B221" s="56"/>
    </row>
    <row r="222" ht="12.75">
      <c r="B222" s="56"/>
    </row>
    <row r="223" ht="12.75">
      <c r="B223" s="56"/>
    </row>
    <row r="224" ht="12.75">
      <c r="B224" s="56"/>
    </row>
    <row r="225" ht="12.75">
      <c r="B225" s="56"/>
    </row>
    <row r="226" ht="12.75">
      <c r="B226" s="56"/>
    </row>
    <row r="227" ht="12.75">
      <c r="B227" s="56"/>
    </row>
    <row r="228" ht="12.75">
      <c r="B228" s="56"/>
    </row>
    <row r="229" ht="12.75">
      <c r="B229" s="56"/>
    </row>
    <row r="230" ht="12.75">
      <c r="B230" s="56"/>
    </row>
    <row r="231" ht="12.75">
      <c r="B231" s="56"/>
    </row>
    <row r="232" ht="12.75">
      <c r="B232" s="56"/>
    </row>
    <row r="233" ht="12.75">
      <c r="B233" s="56"/>
    </row>
    <row r="234" ht="12.75">
      <c r="B234" s="56"/>
    </row>
    <row r="235" ht="12.75">
      <c r="B235" s="56"/>
    </row>
    <row r="236" ht="12.75">
      <c r="B236" s="56"/>
    </row>
    <row r="237" ht="12.75">
      <c r="B237" s="56"/>
    </row>
    <row r="238" ht="12.75">
      <c r="B238" s="56"/>
    </row>
    <row r="239" ht="12.75">
      <c r="B239" s="56"/>
    </row>
    <row r="240" ht="12.75">
      <c r="B240" s="56"/>
    </row>
    <row r="241" ht="12.75">
      <c r="B241" s="56"/>
    </row>
    <row r="242" ht="12.75">
      <c r="B242" s="56"/>
    </row>
    <row r="243" ht="12.75">
      <c r="B243" s="56"/>
    </row>
    <row r="244" ht="12.75">
      <c r="B244" s="56"/>
    </row>
    <row r="245" ht="12.75">
      <c r="B245" s="56"/>
    </row>
    <row r="246" ht="12.75">
      <c r="B246" s="56"/>
    </row>
    <row r="247" ht="12.75">
      <c r="B247" s="56"/>
    </row>
    <row r="248" ht="12.75">
      <c r="B248" s="56"/>
    </row>
    <row r="249" ht="12.75">
      <c r="B249" s="56"/>
    </row>
    <row r="250" ht="12.75">
      <c r="B250" s="56"/>
    </row>
    <row r="251" ht="12.75">
      <c r="B251" s="56"/>
    </row>
    <row r="252" ht="12.75">
      <c r="B252" s="56"/>
    </row>
    <row r="253" ht="12.75">
      <c r="B253" s="56"/>
    </row>
    <row r="254" ht="12.75">
      <c r="B254" s="56"/>
    </row>
    <row r="255" ht="12.75">
      <c r="B255" s="56"/>
    </row>
    <row r="256" ht="12.75">
      <c r="B256" s="56"/>
    </row>
    <row r="257" ht="12.75">
      <c r="B257" s="56"/>
    </row>
    <row r="258" ht="12.75">
      <c r="B258" s="56"/>
    </row>
    <row r="259" ht="12.75">
      <c r="B259" s="56"/>
    </row>
    <row r="260" ht="12.75">
      <c r="B260" s="56"/>
    </row>
    <row r="261" ht="12.75">
      <c r="B261" s="56"/>
    </row>
    <row r="262" ht="12.75">
      <c r="B262" s="56"/>
    </row>
    <row r="263" ht="12.75">
      <c r="B263" s="56"/>
    </row>
    <row r="264" ht="12.75">
      <c r="B264" s="56"/>
    </row>
    <row r="265" ht="12.75">
      <c r="B265" s="56"/>
    </row>
    <row r="266" ht="12.75">
      <c r="B266" s="56"/>
    </row>
    <row r="267" ht="12.75">
      <c r="B267" s="56"/>
    </row>
    <row r="268" ht="12.75">
      <c r="B268" s="56"/>
    </row>
    <row r="269" ht="12.75">
      <c r="B269" s="56"/>
    </row>
    <row r="270" ht="12.75">
      <c r="B270" s="56"/>
    </row>
    <row r="271" ht="12.75">
      <c r="B271" s="56"/>
    </row>
    <row r="272" ht="12.75">
      <c r="B272" s="56"/>
    </row>
    <row r="273" ht="12.75">
      <c r="B273" s="56"/>
    </row>
    <row r="274" ht="12.75">
      <c r="B274" s="56"/>
    </row>
    <row r="275" ht="12.75">
      <c r="B275" s="56"/>
    </row>
    <row r="276" ht="12.75">
      <c r="B276" s="56"/>
    </row>
    <row r="277" ht="12.75">
      <c r="B277" s="56"/>
    </row>
    <row r="278" ht="12.75">
      <c r="B278" s="56"/>
    </row>
    <row r="279" ht="12.75">
      <c r="B279" s="56"/>
    </row>
    <row r="280" ht="12.75">
      <c r="B280" s="56"/>
    </row>
    <row r="281" ht="12.75">
      <c r="B281" s="56"/>
    </row>
    <row r="282" ht="12.75">
      <c r="B282" s="56"/>
    </row>
    <row r="283" ht="12.75">
      <c r="B283" s="56"/>
    </row>
    <row r="284" ht="12.75">
      <c r="B284" s="56"/>
    </row>
    <row r="285" ht="12.75">
      <c r="B285" s="56"/>
    </row>
    <row r="286" ht="12.75">
      <c r="B286" s="56"/>
    </row>
    <row r="287" ht="12.75">
      <c r="B287" s="56"/>
    </row>
    <row r="288" ht="12.75">
      <c r="B288" s="56"/>
    </row>
    <row r="289" ht="12.75">
      <c r="B289" s="56"/>
    </row>
    <row r="290" ht="12.75">
      <c r="B290" s="56"/>
    </row>
    <row r="291" ht="12.75">
      <c r="B291" s="56"/>
    </row>
    <row r="292" ht="12.75">
      <c r="B292" s="56"/>
    </row>
    <row r="293" ht="12.75">
      <c r="B293" s="56"/>
    </row>
    <row r="294" ht="12.75">
      <c r="B294" s="56"/>
    </row>
    <row r="295" ht="12.75">
      <c r="B295" s="56"/>
    </row>
    <row r="296" ht="12.75">
      <c r="B296" s="56"/>
    </row>
    <row r="297" ht="12.75">
      <c r="B297" s="56"/>
    </row>
    <row r="298" ht="12.75">
      <c r="B298" s="56"/>
    </row>
    <row r="299" ht="12.75">
      <c r="B299" s="56"/>
    </row>
    <row r="300" ht="12.75">
      <c r="B300" s="56"/>
    </row>
    <row r="301" ht="12.75">
      <c r="B301" s="56"/>
    </row>
    <row r="302" ht="12.75">
      <c r="B302" s="56"/>
    </row>
    <row r="303" ht="12.75">
      <c r="B303" s="56"/>
    </row>
    <row r="304" ht="12.75">
      <c r="B304" s="56"/>
    </row>
    <row r="305" ht="12.75">
      <c r="B305" s="56"/>
    </row>
    <row r="306" ht="12.75">
      <c r="B306" s="56"/>
    </row>
    <row r="307" ht="12.75">
      <c r="B307" s="56"/>
    </row>
    <row r="308" ht="12.75">
      <c r="B308" s="56"/>
    </row>
    <row r="309" ht="12.75">
      <c r="B309" s="56"/>
    </row>
    <row r="310" ht="12.75">
      <c r="B310" s="56"/>
    </row>
    <row r="311" ht="12.75">
      <c r="B311" s="56"/>
    </row>
    <row r="312" ht="12.75">
      <c r="B312" s="56"/>
    </row>
    <row r="313" ht="12.75">
      <c r="B313" s="56"/>
    </row>
    <row r="314" ht="12.75">
      <c r="B314" s="56"/>
    </row>
    <row r="315" ht="12.75">
      <c r="B315" s="56"/>
    </row>
    <row r="316" ht="12.75">
      <c r="B316" s="56"/>
    </row>
    <row r="317" ht="12.75">
      <c r="B317" s="56"/>
    </row>
    <row r="318" ht="12.75">
      <c r="B318" s="56"/>
    </row>
    <row r="319" ht="12.75">
      <c r="B319" s="56"/>
    </row>
    <row r="320" ht="12.75">
      <c r="B320" s="56"/>
    </row>
    <row r="321" ht="12.75">
      <c r="B321" s="56"/>
    </row>
    <row r="322" ht="12.75">
      <c r="B322" s="56"/>
    </row>
    <row r="323" ht="12.75">
      <c r="B323" s="56"/>
    </row>
    <row r="324" ht="12.75">
      <c r="B324" s="56"/>
    </row>
    <row r="325" ht="12.75">
      <c r="B325" s="56"/>
    </row>
    <row r="326" ht="12.75">
      <c r="B326" s="56"/>
    </row>
    <row r="327" ht="12.75">
      <c r="B327" s="56"/>
    </row>
    <row r="328" ht="12.75">
      <c r="B328" s="56"/>
    </row>
    <row r="329" ht="12.75">
      <c r="B329" s="56"/>
    </row>
    <row r="330" ht="12.75">
      <c r="B330" s="56"/>
    </row>
    <row r="331" ht="12.75">
      <c r="B331" s="56"/>
    </row>
    <row r="332" ht="12.75">
      <c r="B332" s="56"/>
    </row>
    <row r="333" ht="12.75">
      <c r="B333" s="56"/>
    </row>
    <row r="334" ht="12.75">
      <c r="B334" s="56"/>
    </row>
    <row r="335" ht="12.75">
      <c r="B335" s="56"/>
    </row>
    <row r="336" ht="12.75">
      <c r="B336" s="56"/>
    </row>
    <row r="337" ht="12.75">
      <c r="B337" s="56"/>
    </row>
    <row r="338" ht="12.75">
      <c r="B338" s="56"/>
    </row>
    <row r="339" ht="12.75">
      <c r="B339" s="56"/>
    </row>
    <row r="340" ht="12.75">
      <c r="B340" s="56"/>
    </row>
    <row r="341" ht="12.75">
      <c r="B341" s="56"/>
    </row>
    <row r="342" ht="12.75">
      <c r="B342" s="56"/>
    </row>
    <row r="343" ht="12.75">
      <c r="B343" s="56"/>
    </row>
    <row r="344" ht="12.75">
      <c r="B344" s="56"/>
    </row>
    <row r="345" ht="12.75">
      <c r="B345" s="56"/>
    </row>
    <row r="346" ht="12.75">
      <c r="B346" s="56"/>
    </row>
    <row r="347" ht="12.75">
      <c r="B347" s="56"/>
    </row>
    <row r="348" ht="12.75">
      <c r="B348" s="56"/>
    </row>
    <row r="349" ht="12.75">
      <c r="B349" s="56"/>
    </row>
    <row r="350" ht="12.75">
      <c r="B350" s="56"/>
    </row>
    <row r="351" ht="12.75">
      <c r="B351" s="56"/>
    </row>
    <row r="352" ht="12.75">
      <c r="B352" s="56"/>
    </row>
    <row r="353" ht="12.75">
      <c r="B353" s="56"/>
    </row>
    <row r="354" ht="12.75">
      <c r="B354" s="56"/>
    </row>
    <row r="355" ht="12.75">
      <c r="B355" s="56"/>
    </row>
    <row r="356" ht="12.75">
      <c r="B356" s="56"/>
    </row>
    <row r="357" ht="12.75">
      <c r="B357" s="56"/>
    </row>
    <row r="358" ht="12.75">
      <c r="B358" s="56"/>
    </row>
    <row r="359" ht="12.75">
      <c r="B359" s="56"/>
    </row>
    <row r="360" ht="12.75">
      <c r="B360" s="56"/>
    </row>
    <row r="361" ht="12.75">
      <c r="B361" s="56"/>
    </row>
    <row r="362" ht="12.75">
      <c r="B362" s="56"/>
    </row>
    <row r="363" ht="12.75">
      <c r="B363" s="56"/>
    </row>
    <row r="364" ht="12.75">
      <c r="B364" s="56"/>
    </row>
    <row r="365" ht="12.75">
      <c r="B365" s="56"/>
    </row>
    <row r="366" ht="12.75">
      <c r="B366" s="56"/>
    </row>
    <row r="367" ht="12.75">
      <c r="B367" s="56"/>
    </row>
    <row r="368" ht="12.75">
      <c r="B368" s="56"/>
    </row>
    <row r="369" ht="12.75">
      <c r="B369" s="56"/>
    </row>
    <row r="370" ht="12.75">
      <c r="B370" s="56"/>
    </row>
    <row r="371" ht="12.75">
      <c r="B371" s="56"/>
    </row>
    <row r="372" ht="12.75">
      <c r="B372" s="56"/>
    </row>
    <row r="373" ht="12.75">
      <c r="B373" s="56"/>
    </row>
    <row r="374" ht="12.75">
      <c r="B374" s="56"/>
    </row>
    <row r="375" ht="12.75">
      <c r="B375" s="56"/>
    </row>
    <row r="376" ht="12.75">
      <c r="B376" s="56"/>
    </row>
    <row r="377" ht="12.75">
      <c r="B377" s="56"/>
    </row>
    <row r="378" ht="12.75">
      <c r="B378" s="56"/>
    </row>
    <row r="379" ht="12.75">
      <c r="B379" s="56"/>
    </row>
    <row r="380" ht="12.75">
      <c r="B380" s="56"/>
    </row>
    <row r="381" ht="12.75">
      <c r="B381" s="56"/>
    </row>
    <row r="382" ht="12.75">
      <c r="B382" s="56"/>
    </row>
    <row r="383" ht="12.75">
      <c r="B383" s="56"/>
    </row>
    <row r="384" ht="12.75">
      <c r="B384" s="56"/>
    </row>
    <row r="385" ht="12.75">
      <c r="B385" s="56"/>
    </row>
    <row r="386" ht="12.75">
      <c r="B386" s="56"/>
    </row>
    <row r="387" ht="12.75">
      <c r="B387" s="56"/>
    </row>
    <row r="388" ht="12.75">
      <c r="B388" s="56"/>
    </row>
    <row r="389" ht="12.75">
      <c r="B389" s="56"/>
    </row>
    <row r="390" ht="12.75">
      <c r="B390" s="56"/>
    </row>
    <row r="391" ht="12.75">
      <c r="B391" s="56"/>
    </row>
    <row r="392" ht="12.75">
      <c r="B392" s="56"/>
    </row>
    <row r="393" ht="12.75">
      <c r="B393" s="56"/>
    </row>
    <row r="394" ht="12.75">
      <c r="B394" s="56"/>
    </row>
    <row r="395" ht="12.75">
      <c r="B395" s="56"/>
    </row>
    <row r="396" ht="12.75">
      <c r="B396" s="56"/>
    </row>
    <row r="397" ht="12.75">
      <c r="B397" s="56"/>
    </row>
    <row r="398" ht="12.75">
      <c r="B398" s="56"/>
    </row>
    <row r="399" ht="12.75">
      <c r="B399" s="56"/>
    </row>
    <row r="400" ht="12.75">
      <c r="B400" s="56"/>
    </row>
    <row r="401" ht="12.75">
      <c r="B401" s="56"/>
    </row>
    <row r="402" ht="12.75">
      <c r="B402" s="56"/>
    </row>
    <row r="403" ht="12.75">
      <c r="B403" s="56"/>
    </row>
    <row r="404" ht="12.75">
      <c r="B404" s="56"/>
    </row>
    <row r="405" ht="12.75">
      <c r="B405" s="56"/>
    </row>
    <row r="406" ht="12.75">
      <c r="B406" s="56"/>
    </row>
    <row r="407" ht="12.75">
      <c r="B407" s="56"/>
    </row>
    <row r="408" ht="12.75">
      <c r="B408" s="56"/>
    </row>
    <row r="409" ht="12.75">
      <c r="B409" s="56"/>
    </row>
    <row r="410" ht="12.75">
      <c r="B410" s="56"/>
    </row>
    <row r="411" ht="12.75">
      <c r="B411" s="56"/>
    </row>
    <row r="412" ht="12.75">
      <c r="B412" s="56"/>
    </row>
    <row r="413" ht="12.75">
      <c r="B413" s="56"/>
    </row>
    <row r="414" ht="12.75">
      <c r="B414" s="56"/>
    </row>
    <row r="415" ht="12.75">
      <c r="B415" s="56"/>
    </row>
    <row r="416" ht="12.75">
      <c r="B416" s="56"/>
    </row>
    <row r="417" ht="12.75">
      <c r="B417" s="56"/>
    </row>
    <row r="418" ht="12.75">
      <c r="B418" s="56"/>
    </row>
    <row r="419" ht="12.75">
      <c r="B419" s="56"/>
    </row>
    <row r="420" ht="12.75">
      <c r="B420" s="56"/>
    </row>
    <row r="421" ht="12.75">
      <c r="B421" s="56"/>
    </row>
    <row r="422" ht="12.75">
      <c r="B422" s="56"/>
    </row>
    <row r="423" ht="12.75">
      <c r="B423" s="56"/>
    </row>
    <row r="424" ht="12.75">
      <c r="B424" s="56"/>
    </row>
    <row r="425" ht="12.75">
      <c r="B425" s="56"/>
    </row>
    <row r="426" ht="12.75">
      <c r="B426" s="56"/>
    </row>
    <row r="427" ht="12.75">
      <c r="B427" s="56"/>
    </row>
    <row r="428" ht="12.75">
      <c r="B428" s="56"/>
    </row>
    <row r="429" ht="12.75">
      <c r="B429" s="56"/>
    </row>
    <row r="430" ht="12.75">
      <c r="B430" s="56"/>
    </row>
    <row r="431" ht="12.75">
      <c r="B431" s="56"/>
    </row>
    <row r="432" ht="12.75">
      <c r="B432" s="56"/>
    </row>
    <row r="433" ht="12.75">
      <c r="B433" s="56"/>
    </row>
    <row r="434" ht="12.75">
      <c r="B434" s="56"/>
    </row>
    <row r="435" ht="12.75">
      <c r="B435" s="56"/>
    </row>
    <row r="436" ht="12.75">
      <c r="B436" s="56"/>
    </row>
    <row r="437" ht="12.75">
      <c r="B437" s="56"/>
    </row>
    <row r="438" ht="12.75">
      <c r="B438" s="56"/>
    </row>
    <row r="439" ht="12.75">
      <c r="B439" s="56"/>
    </row>
    <row r="440" ht="12.75">
      <c r="B440" s="56"/>
    </row>
    <row r="441" ht="12.75">
      <c r="B441" s="56"/>
    </row>
    <row r="442" ht="12.75">
      <c r="B442" s="56"/>
    </row>
    <row r="443" ht="12.75">
      <c r="B443" s="56"/>
    </row>
    <row r="444" ht="12.75">
      <c r="B444" s="56"/>
    </row>
    <row r="445" ht="12.75">
      <c r="B445" s="56"/>
    </row>
    <row r="446" ht="12.75">
      <c r="B446" s="56"/>
    </row>
    <row r="447" ht="12.75">
      <c r="B447" s="56"/>
    </row>
    <row r="448" ht="12.75">
      <c r="B448" s="56"/>
    </row>
    <row r="449" ht="12.75">
      <c r="B449" s="56"/>
    </row>
    <row r="450" ht="12.75">
      <c r="B450" s="56"/>
    </row>
    <row r="451" ht="12.75">
      <c r="B451" s="56"/>
    </row>
    <row r="452" ht="12.75">
      <c r="B452" s="56"/>
    </row>
    <row r="453" ht="12.75">
      <c r="B453" s="56"/>
    </row>
    <row r="454" ht="12.75">
      <c r="B454" s="56"/>
    </row>
    <row r="455" ht="12.75">
      <c r="B455" s="56"/>
    </row>
    <row r="456" ht="12.75">
      <c r="B456" s="56"/>
    </row>
    <row r="457" ht="12.75">
      <c r="B457" s="56"/>
    </row>
    <row r="458" ht="12.75">
      <c r="B458" s="56"/>
    </row>
    <row r="459" ht="12.75">
      <c r="B459" s="56"/>
    </row>
    <row r="460" ht="12.75">
      <c r="B460" s="56"/>
    </row>
    <row r="461" ht="12.75">
      <c r="B461" s="56"/>
    </row>
    <row r="462" ht="12.75">
      <c r="B462" s="56"/>
    </row>
    <row r="463" ht="12.75">
      <c r="B463" s="56"/>
    </row>
    <row r="464" ht="12.75">
      <c r="B464" s="56"/>
    </row>
    <row r="465" ht="12.75">
      <c r="B465" s="56"/>
    </row>
    <row r="466" ht="12.75">
      <c r="B466" s="56"/>
    </row>
    <row r="467" ht="12.75">
      <c r="B467" s="56"/>
    </row>
    <row r="468" ht="12.75">
      <c r="B468" s="56"/>
    </row>
    <row r="469" ht="12.75">
      <c r="B469" s="56"/>
    </row>
    <row r="470" ht="12.75">
      <c r="B470" s="56"/>
    </row>
    <row r="471" ht="12.75">
      <c r="B471" s="56"/>
    </row>
    <row r="472" ht="12.75">
      <c r="B472" s="56"/>
    </row>
    <row r="473" ht="12.75">
      <c r="B473" s="56"/>
    </row>
    <row r="474" ht="12.75">
      <c r="B474" s="56"/>
    </row>
    <row r="475" ht="12.75">
      <c r="B475" s="56"/>
    </row>
    <row r="476" ht="12.75">
      <c r="B476" s="56"/>
    </row>
    <row r="477" ht="12.75">
      <c r="B477" s="56"/>
    </row>
    <row r="478" ht="12.75">
      <c r="B478" s="56"/>
    </row>
    <row r="479" ht="12.75">
      <c r="B479" s="56"/>
    </row>
    <row r="480" ht="12.75">
      <c r="B480" s="56"/>
    </row>
    <row r="481" ht="12.75">
      <c r="B481" s="56"/>
    </row>
    <row r="482" ht="12.75">
      <c r="B482" s="56"/>
    </row>
    <row r="483" ht="12.75">
      <c r="B483" s="56"/>
    </row>
    <row r="484" ht="12.75">
      <c r="B484" s="56"/>
    </row>
    <row r="485" ht="12.75">
      <c r="B485" s="56"/>
    </row>
    <row r="486" ht="12.75">
      <c r="B486" s="56"/>
    </row>
    <row r="487" ht="12.75">
      <c r="B487" s="56"/>
    </row>
    <row r="488" ht="12.75">
      <c r="B488" s="56"/>
    </row>
    <row r="489" ht="12.75">
      <c r="B489" s="56"/>
    </row>
    <row r="490" ht="12.75">
      <c r="B490" s="56"/>
    </row>
    <row r="491" ht="12.75">
      <c r="B491" s="56"/>
    </row>
    <row r="492" ht="12.75">
      <c r="B492" s="56"/>
    </row>
    <row r="493" ht="12.75">
      <c r="B493" s="56"/>
    </row>
    <row r="494" ht="12.75">
      <c r="B494" s="56"/>
    </row>
    <row r="495" ht="12.75">
      <c r="B495" s="56"/>
    </row>
    <row r="496" ht="12.75">
      <c r="B496" s="56"/>
    </row>
    <row r="497" ht="12.75">
      <c r="B497" s="56"/>
    </row>
    <row r="498" ht="12.75">
      <c r="B498" s="56"/>
    </row>
    <row r="499" ht="12.75">
      <c r="B499" s="56"/>
    </row>
    <row r="500" ht="12.75">
      <c r="B500" s="56"/>
    </row>
    <row r="501" ht="12.75">
      <c r="B501" s="56"/>
    </row>
    <row r="502" ht="12.75">
      <c r="B502" s="56"/>
    </row>
    <row r="503" ht="12.75">
      <c r="B503" s="56"/>
    </row>
    <row r="504" ht="12.75">
      <c r="B504" s="56"/>
    </row>
    <row r="505" ht="12.75">
      <c r="B505" s="56"/>
    </row>
    <row r="506" ht="12.75">
      <c r="B506" s="56"/>
    </row>
    <row r="507" ht="12.75">
      <c r="B507" s="56"/>
    </row>
    <row r="508" ht="12.75">
      <c r="B508" s="56"/>
    </row>
    <row r="509" ht="12.75">
      <c r="B509" s="56"/>
    </row>
    <row r="510" ht="12.75">
      <c r="B510" s="56"/>
    </row>
    <row r="511" ht="12.75">
      <c r="B511" s="56"/>
    </row>
    <row r="512" ht="12.75">
      <c r="B512" s="56"/>
    </row>
    <row r="513" ht="12.75">
      <c r="B513" s="56"/>
    </row>
    <row r="514" ht="12.75">
      <c r="B514" s="56"/>
    </row>
    <row r="515" ht="12.75">
      <c r="B515" s="56"/>
    </row>
    <row r="516" ht="12.75">
      <c r="B516" s="56"/>
    </row>
    <row r="517" ht="12.75">
      <c r="B517" s="56"/>
    </row>
    <row r="518" ht="12.75">
      <c r="B518" s="56"/>
    </row>
    <row r="519" ht="12.75">
      <c r="B519" s="56"/>
    </row>
    <row r="520" ht="12.75">
      <c r="B520" s="56"/>
    </row>
    <row r="521" ht="12.75">
      <c r="B521" s="56"/>
    </row>
    <row r="522" ht="12.75">
      <c r="B522" s="56"/>
    </row>
    <row r="523" ht="12.75">
      <c r="B523" s="56"/>
    </row>
    <row r="524" ht="12.75">
      <c r="B524" s="56"/>
    </row>
    <row r="525" ht="12.75">
      <c r="B525" s="56"/>
    </row>
    <row r="526" ht="12.75">
      <c r="B526" s="56"/>
    </row>
    <row r="527" ht="12.75">
      <c r="B527" s="56"/>
    </row>
    <row r="528" ht="12.75">
      <c r="B528" s="56"/>
    </row>
    <row r="529" ht="12.75">
      <c r="B529" s="56"/>
    </row>
    <row r="530" ht="12.75">
      <c r="B530" s="56"/>
    </row>
    <row r="531" ht="12.75">
      <c r="B531" s="56"/>
    </row>
    <row r="532" ht="12.75">
      <c r="B532" s="56"/>
    </row>
    <row r="533" ht="12.75">
      <c r="B533" s="56"/>
    </row>
    <row r="534" ht="12.75">
      <c r="B534" s="56"/>
    </row>
    <row r="535" ht="12.75">
      <c r="B535" s="56"/>
    </row>
    <row r="536" ht="12.75">
      <c r="B536" s="56"/>
    </row>
    <row r="537" ht="12.75">
      <c r="B537" s="56"/>
    </row>
    <row r="538" ht="12.75">
      <c r="B538" s="56"/>
    </row>
    <row r="539" ht="12.75">
      <c r="B539" s="56"/>
    </row>
    <row r="540" ht="12.75">
      <c r="B540" s="56"/>
    </row>
    <row r="541" ht="12.75">
      <c r="B541" s="56"/>
    </row>
    <row r="542" ht="12.75">
      <c r="B542" s="56"/>
    </row>
    <row r="543" ht="12.75">
      <c r="B543" s="56"/>
    </row>
    <row r="544" ht="12.75">
      <c r="B544" s="56"/>
    </row>
  </sheetData>
  <sheetProtection/>
  <mergeCells count="4">
    <mergeCell ref="A2:B2"/>
    <mergeCell ref="A3:B3"/>
    <mergeCell ref="A1:B1"/>
    <mergeCell ref="A5:B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rgb="FFFFFF00"/>
  </sheetPr>
  <dimension ref="A1:B544"/>
  <sheetViews>
    <sheetView view="pageBreakPreview" zoomScale="110" zoomScaleSheetLayoutView="110" zoomScalePageLayoutView="0" workbookViewId="0" topLeftCell="A1">
      <selection activeCell="A5" sqref="A5:B5"/>
    </sheetView>
  </sheetViews>
  <sheetFormatPr defaultColWidth="9.140625" defaultRowHeight="15"/>
  <cols>
    <col min="1" max="1" width="85.28125" style="56" customWidth="1"/>
    <col min="2" max="2" width="37.28125" style="57" customWidth="1"/>
    <col min="3" max="16384" width="9.140625" style="56" customWidth="1"/>
  </cols>
  <sheetData>
    <row r="1" spans="1:2" ht="35.25" customHeight="1">
      <c r="A1" s="180" t="s">
        <v>106</v>
      </c>
      <c r="B1" s="180"/>
    </row>
    <row r="2" spans="1:2" s="29" customFormat="1" ht="78.75" customHeight="1">
      <c r="A2" s="224" t="s">
        <v>157</v>
      </c>
      <c r="B2" s="224"/>
    </row>
    <row r="3" spans="1:2" ht="24.75" customHeight="1">
      <c r="A3" s="225" t="s">
        <v>18</v>
      </c>
      <c r="B3" s="225"/>
    </row>
    <row r="4" spans="1:2" s="62" customFormat="1" ht="66.75" customHeight="1">
      <c r="A4" s="60" t="s">
        <v>158</v>
      </c>
      <c r="B4" s="61">
        <v>22692.49</v>
      </c>
    </row>
    <row r="5" spans="1:2" ht="54.75" customHeight="1">
      <c r="A5" s="227" t="s">
        <v>113</v>
      </c>
      <c r="B5" s="227"/>
    </row>
    <row r="6" ht="26.25" customHeight="1">
      <c r="B6" s="56"/>
    </row>
    <row r="7" ht="12.75">
      <c r="B7" s="56"/>
    </row>
    <row r="8" ht="12.75">
      <c r="B8" s="56"/>
    </row>
    <row r="9" ht="12.75">
      <c r="B9" s="56"/>
    </row>
    <row r="10" ht="12.75">
      <c r="B10" s="56"/>
    </row>
    <row r="11" ht="12.75">
      <c r="B11" s="56"/>
    </row>
    <row r="12" ht="12.75">
      <c r="B12" s="56"/>
    </row>
    <row r="13" ht="12.75">
      <c r="B13" s="56"/>
    </row>
    <row r="14" ht="12.75">
      <c r="B14" s="56"/>
    </row>
    <row r="15" ht="12.75">
      <c r="B15" s="56"/>
    </row>
    <row r="16" ht="12.75">
      <c r="B16" s="56"/>
    </row>
    <row r="17" ht="12.75">
      <c r="B17" s="56"/>
    </row>
    <row r="18" ht="12.75">
      <c r="B18" s="56"/>
    </row>
    <row r="19" ht="12.75">
      <c r="B19" s="56"/>
    </row>
    <row r="20" ht="12.75">
      <c r="B20" s="56"/>
    </row>
    <row r="21" ht="12.75">
      <c r="B21" s="56"/>
    </row>
    <row r="22" ht="12.75">
      <c r="B22" s="56"/>
    </row>
    <row r="23" ht="12.75">
      <c r="B23" s="56"/>
    </row>
    <row r="24" ht="12.75">
      <c r="B24" s="56"/>
    </row>
    <row r="25" ht="12.75">
      <c r="B25" s="56"/>
    </row>
    <row r="26" ht="12.75">
      <c r="B26" s="56"/>
    </row>
    <row r="27" ht="12.75">
      <c r="B27" s="56"/>
    </row>
    <row r="28" ht="12.75">
      <c r="B28" s="56"/>
    </row>
    <row r="29" ht="12.75">
      <c r="B29" s="56"/>
    </row>
    <row r="30" ht="12.75">
      <c r="B30" s="56"/>
    </row>
    <row r="31" ht="12.75">
      <c r="B31" s="56"/>
    </row>
    <row r="32" ht="12.75">
      <c r="B32" s="56"/>
    </row>
    <row r="33" ht="12.75">
      <c r="B33" s="56"/>
    </row>
    <row r="34" ht="12.75">
      <c r="B34" s="56"/>
    </row>
    <row r="35" ht="12.75">
      <c r="B35" s="56"/>
    </row>
    <row r="36" ht="12.75">
      <c r="B36" s="56"/>
    </row>
    <row r="37" ht="12.75">
      <c r="B37" s="56"/>
    </row>
    <row r="38" ht="12.75">
      <c r="B38" s="56"/>
    </row>
    <row r="39" ht="12.75">
      <c r="B39" s="56"/>
    </row>
    <row r="40" ht="12.75">
      <c r="B40" s="56"/>
    </row>
    <row r="41" ht="12.75">
      <c r="B41" s="56"/>
    </row>
    <row r="42" ht="12.75">
      <c r="B42" s="56"/>
    </row>
    <row r="43" ht="12.75">
      <c r="B43" s="56"/>
    </row>
    <row r="44" ht="12.75">
      <c r="B44" s="56"/>
    </row>
    <row r="45" ht="12.75">
      <c r="B45" s="56"/>
    </row>
    <row r="46" ht="12.75">
      <c r="B46" s="56"/>
    </row>
    <row r="47" ht="12.75">
      <c r="B47" s="56"/>
    </row>
    <row r="48" ht="12.75">
      <c r="B48" s="56"/>
    </row>
    <row r="49" ht="12.75">
      <c r="B49" s="56"/>
    </row>
    <row r="50" ht="12.75">
      <c r="B50" s="56"/>
    </row>
    <row r="51" ht="12.75">
      <c r="B51" s="56"/>
    </row>
    <row r="52" ht="12.75">
      <c r="B52" s="56"/>
    </row>
    <row r="53" ht="12.75">
      <c r="B53" s="56"/>
    </row>
    <row r="54" ht="12.75">
      <c r="B54" s="56"/>
    </row>
    <row r="55" ht="12.75">
      <c r="B55" s="56"/>
    </row>
    <row r="56" ht="12.75">
      <c r="B56" s="56"/>
    </row>
    <row r="57" ht="12.75">
      <c r="B57" s="56"/>
    </row>
    <row r="58" ht="12.75">
      <c r="B58" s="56"/>
    </row>
    <row r="59" ht="12.75">
      <c r="B59" s="56"/>
    </row>
    <row r="60" ht="12.75">
      <c r="B60" s="56"/>
    </row>
    <row r="61" ht="12.75">
      <c r="B61" s="56"/>
    </row>
    <row r="62" ht="12.75">
      <c r="B62" s="56"/>
    </row>
    <row r="63" ht="12.75">
      <c r="B63" s="56"/>
    </row>
    <row r="64" ht="12.75">
      <c r="B64" s="56"/>
    </row>
    <row r="65" ht="12.75">
      <c r="B65" s="56"/>
    </row>
    <row r="66" ht="12.75">
      <c r="B66" s="56"/>
    </row>
    <row r="67" ht="12.75">
      <c r="B67" s="56"/>
    </row>
    <row r="68" ht="12.75">
      <c r="B68" s="56"/>
    </row>
    <row r="69" ht="12.75">
      <c r="B69" s="56"/>
    </row>
    <row r="70" ht="12.75">
      <c r="B70" s="56"/>
    </row>
    <row r="71" ht="12.75">
      <c r="B71" s="56"/>
    </row>
    <row r="72" ht="12.75">
      <c r="B72" s="56"/>
    </row>
    <row r="73" ht="12.75">
      <c r="B73" s="56"/>
    </row>
    <row r="74" ht="12.75">
      <c r="B74" s="56"/>
    </row>
    <row r="75" ht="12.75">
      <c r="B75" s="56"/>
    </row>
    <row r="76" ht="12.75">
      <c r="B76" s="56"/>
    </row>
    <row r="77" ht="12.75">
      <c r="B77" s="56"/>
    </row>
    <row r="78" ht="12.75">
      <c r="B78" s="56"/>
    </row>
    <row r="79" ht="12.75">
      <c r="B79" s="56"/>
    </row>
    <row r="80" ht="12.75">
      <c r="B80" s="56"/>
    </row>
    <row r="81" ht="12.75">
      <c r="B81" s="56"/>
    </row>
    <row r="82" ht="12.75">
      <c r="B82" s="56"/>
    </row>
    <row r="83" ht="12.75">
      <c r="B83" s="56"/>
    </row>
    <row r="84" ht="12.75">
      <c r="B84" s="56"/>
    </row>
    <row r="85" ht="12.75">
      <c r="B85" s="56"/>
    </row>
    <row r="86" ht="12.75">
      <c r="B86" s="56"/>
    </row>
    <row r="87" ht="12.75">
      <c r="B87" s="56"/>
    </row>
    <row r="88" ht="12.75">
      <c r="B88" s="56"/>
    </row>
    <row r="89" ht="12.75">
      <c r="B89" s="56"/>
    </row>
    <row r="90" ht="12.75">
      <c r="B90" s="56"/>
    </row>
    <row r="91" ht="12.75">
      <c r="B91" s="56"/>
    </row>
    <row r="92" ht="12.75">
      <c r="B92" s="56"/>
    </row>
    <row r="93" ht="12.75">
      <c r="B93" s="56"/>
    </row>
    <row r="94" ht="12.75">
      <c r="B94" s="56"/>
    </row>
    <row r="95" ht="12.75">
      <c r="B95" s="56"/>
    </row>
    <row r="96" ht="12.75">
      <c r="B96" s="56"/>
    </row>
    <row r="97" ht="12.75">
      <c r="B97" s="56"/>
    </row>
    <row r="98" ht="12.75">
      <c r="B98" s="56"/>
    </row>
    <row r="99" ht="12.75">
      <c r="B99" s="56"/>
    </row>
    <row r="100" ht="12.75">
      <c r="B100" s="56"/>
    </row>
    <row r="101" ht="12.75">
      <c r="B101" s="56"/>
    </row>
    <row r="102" ht="12.75">
      <c r="B102" s="56"/>
    </row>
    <row r="103" ht="12.75">
      <c r="B103" s="56"/>
    </row>
    <row r="104" ht="12.75">
      <c r="B104" s="56"/>
    </row>
    <row r="105" ht="12.75">
      <c r="B105" s="56"/>
    </row>
    <row r="106" ht="12.75">
      <c r="B106" s="56"/>
    </row>
    <row r="107" ht="12.75">
      <c r="B107" s="56"/>
    </row>
    <row r="108" ht="12.75">
      <c r="B108" s="56"/>
    </row>
    <row r="109" ht="12.75">
      <c r="B109" s="56"/>
    </row>
    <row r="110" ht="12.75">
      <c r="B110" s="56"/>
    </row>
    <row r="111" ht="12.75">
      <c r="B111" s="56"/>
    </row>
    <row r="112" ht="12.75">
      <c r="B112" s="56"/>
    </row>
    <row r="113" ht="12.75">
      <c r="B113" s="56"/>
    </row>
    <row r="114" ht="12.75">
      <c r="B114" s="56"/>
    </row>
    <row r="115" ht="12.75">
      <c r="B115" s="56"/>
    </row>
    <row r="116" ht="12.75">
      <c r="B116" s="56"/>
    </row>
    <row r="117" ht="12.75">
      <c r="B117" s="56"/>
    </row>
    <row r="118" ht="12.75">
      <c r="B118" s="56"/>
    </row>
    <row r="119" ht="12.75">
      <c r="B119" s="56"/>
    </row>
    <row r="120" ht="12.75">
      <c r="B120" s="56"/>
    </row>
    <row r="121" ht="12.75">
      <c r="B121" s="56"/>
    </row>
    <row r="122" ht="12.75">
      <c r="B122" s="56"/>
    </row>
    <row r="123" ht="12.75">
      <c r="B123" s="56"/>
    </row>
    <row r="124" ht="12.75">
      <c r="B124" s="56"/>
    </row>
    <row r="125" ht="12.75">
      <c r="B125" s="56"/>
    </row>
    <row r="126" ht="12.75">
      <c r="B126" s="56"/>
    </row>
    <row r="127" ht="12.75">
      <c r="B127" s="56"/>
    </row>
    <row r="128" ht="12.75">
      <c r="B128" s="56"/>
    </row>
    <row r="129" ht="12.75">
      <c r="B129" s="56"/>
    </row>
    <row r="130" ht="12.75">
      <c r="B130" s="56"/>
    </row>
    <row r="131" ht="12.75">
      <c r="B131" s="56"/>
    </row>
    <row r="132" ht="12.75">
      <c r="B132" s="56"/>
    </row>
    <row r="133" ht="12.75">
      <c r="B133" s="56"/>
    </row>
    <row r="134" ht="12.75">
      <c r="B134" s="56"/>
    </row>
    <row r="135" ht="12.75">
      <c r="B135" s="56"/>
    </row>
    <row r="136" ht="12.75">
      <c r="B136" s="56"/>
    </row>
    <row r="137" ht="12.75">
      <c r="B137" s="56"/>
    </row>
    <row r="138" ht="12.75">
      <c r="B138" s="56"/>
    </row>
    <row r="139" ht="12.75">
      <c r="B139" s="56"/>
    </row>
    <row r="140" ht="12.75">
      <c r="B140" s="56"/>
    </row>
    <row r="141" ht="12.75">
      <c r="B141" s="56"/>
    </row>
    <row r="142" ht="12.75">
      <c r="B142" s="56"/>
    </row>
    <row r="143" ht="12.75">
      <c r="B143" s="56"/>
    </row>
    <row r="144" ht="12.75">
      <c r="B144" s="56"/>
    </row>
    <row r="145" ht="12.75">
      <c r="B145" s="56"/>
    </row>
    <row r="146" ht="12.75">
      <c r="B146" s="56"/>
    </row>
    <row r="147" ht="12.75">
      <c r="B147" s="56"/>
    </row>
    <row r="148" ht="12.75">
      <c r="B148" s="56"/>
    </row>
    <row r="149" ht="12.75">
      <c r="B149" s="56"/>
    </row>
    <row r="150" ht="12.75">
      <c r="B150" s="56"/>
    </row>
    <row r="151" ht="12.75">
      <c r="B151" s="56"/>
    </row>
    <row r="152" ht="12.75">
      <c r="B152" s="56"/>
    </row>
    <row r="153" ht="12.75">
      <c r="B153" s="56"/>
    </row>
    <row r="154" ht="12.75">
      <c r="B154" s="56"/>
    </row>
    <row r="155" ht="12.75">
      <c r="B155" s="56"/>
    </row>
    <row r="156" ht="12.75">
      <c r="B156" s="56"/>
    </row>
    <row r="157" ht="12.75">
      <c r="B157" s="56"/>
    </row>
    <row r="158" ht="12.75">
      <c r="B158" s="56"/>
    </row>
    <row r="159" ht="12.75">
      <c r="B159" s="56"/>
    </row>
    <row r="160" ht="12.75">
      <c r="B160" s="56"/>
    </row>
    <row r="161" ht="12.75">
      <c r="B161" s="56"/>
    </row>
    <row r="162" ht="12.75">
      <c r="B162" s="56"/>
    </row>
    <row r="163" ht="12.75">
      <c r="B163" s="56"/>
    </row>
    <row r="164" ht="12.75">
      <c r="B164" s="56"/>
    </row>
    <row r="165" ht="12.75">
      <c r="B165" s="56"/>
    </row>
    <row r="166" ht="12.75">
      <c r="B166" s="56"/>
    </row>
    <row r="167" ht="12.75">
      <c r="B167" s="56"/>
    </row>
    <row r="168" ht="12.75">
      <c r="B168" s="56"/>
    </row>
    <row r="169" ht="12.75">
      <c r="B169" s="56"/>
    </row>
    <row r="170" ht="12.75">
      <c r="B170" s="56"/>
    </row>
    <row r="171" ht="12.75">
      <c r="B171" s="56"/>
    </row>
    <row r="172" ht="12.75">
      <c r="B172" s="56"/>
    </row>
    <row r="173" ht="12.75">
      <c r="B173" s="56"/>
    </row>
    <row r="174" ht="12.75">
      <c r="B174" s="56"/>
    </row>
    <row r="175" ht="12.75">
      <c r="B175" s="56"/>
    </row>
    <row r="176" ht="12.75">
      <c r="B176" s="56"/>
    </row>
    <row r="177" ht="12.75">
      <c r="B177" s="56"/>
    </row>
    <row r="178" ht="12.75">
      <c r="B178" s="56"/>
    </row>
    <row r="179" ht="12.75">
      <c r="B179" s="56"/>
    </row>
    <row r="180" ht="12.75">
      <c r="B180" s="56"/>
    </row>
    <row r="181" ht="12.75">
      <c r="B181" s="56"/>
    </row>
    <row r="182" ht="12.75">
      <c r="B182" s="56"/>
    </row>
    <row r="183" ht="12.75">
      <c r="B183" s="56"/>
    </row>
    <row r="184" ht="12.75">
      <c r="B184" s="56"/>
    </row>
    <row r="185" ht="12.75">
      <c r="B185" s="56"/>
    </row>
    <row r="186" ht="12.75">
      <c r="B186" s="56"/>
    </row>
    <row r="187" ht="12.75">
      <c r="B187" s="56"/>
    </row>
    <row r="188" ht="12.75">
      <c r="B188" s="56"/>
    </row>
    <row r="189" ht="12.75">
      <c r="B189" s="56"/>
    </row>
    <row r="190" ht="12.75">
      <c r="B190" s="56"/>
    </row>
    <row r="191" ht="12.75">
      <c r="B191" s="56"/>
    </row>
    <row r="192" ht="12.75">
      <c r="B192" s="56"/>
    </row>
    <row r="193" ht="12.75">
      <c r="B193" s="56"/>
    </row>
    <row r="194" ht="12.75">
      <c r="B194" s="56"/>
    </row>
    <row r="195" ht="12.75">
      <c r="B195" s="56"/>
    </row>
    <row r="196" ht="12.75">
      <c r="B196" s="56"/>
    </row>
    <row r="197" ht="12.75">
      <c r="B197" s="56"/>
    </row>
    <row r="198" ht="12.75">
      <c r="B198" s="56"/>
    </row>
    <row r="199" ht="12.75">
      <c r="B199" s="56"/>
    </row>
    <row r="200" ht="12.75">
      <c r="B200" s="56"/>
    </row>
    <row r="201" ht="12.75">
      <c r="B201" s="56"/>
    </row>
    <row r="202" ht="12.75">
      <c r="B202" s="56"/>
    </row>
    <row r="203" ht="12.75">
      <c r="B203" s="56"/>
    </row>
    <row r="204" ht="12.75">
      <c r="B204" s="56"/>
    </row>
    <row r="205" ht="12.75">
      <c r="B205" s="56"/>
    </row>
    <row r="206" ht="12.75">
      <c r="B206" s="56"/>
    </row>
    <row r="207" ht="12.75">
      <c r="B207" s="56"/>
    </row>
    <row r="208" ht="12.75">
      <c r="B208" s="56"/>
    </row>
    <row r="209" ht="12.75">
      <c r="B209" s="56"/>
    </row>
    <row r="210" ht="12.75">
      <c r="B210" s="56"/>
    </row>
    <row r="211" ht="12.75">
      <c r="B211" s="56"/>
    </row>
    <row r="212" ht="12.75">
      <c r="B212" s="56"/>
    </row>
    <row r="213" ht="12.75">
      <c r="B213" s="56"/>
    </row>
    <row r="214" ht="12.75">
      <c r="B214" s="56"/>
    </row>
    <row r="215" ht="12.75">
      <c r="B215" s="56"/>
    </row>
    <row r="216" ht="12.75">
      <c r="B216" s="56"/>
    </row>
    <row r="217" ht="12.75">
      <c r="B217" s="56"/>
    </row>
    <row r="218" ht="12.75">
      <c r="B218" s="56"/>
    </row>
    <row r="219" ht="12.75">
      <c r="B219" s="56"/>
    </row>
    <row r="220" ht="12.75">
      <c r="B220" s="56"/>
    </row>
    <row r="221" ht="12.75">
      <c r="B221" s="56"/>
    </row>
    <row r="222" ht="12.75">
      <c r="B222" s="56"/>
    </row>
    <row r="223" ht="12.75">
      <c r="B223" s="56"/>
    </row>
    <row r="224" ht="12.75">
      <c r="B224" s="56"/>
    </row>
    <row r="225" ht="12.75">
      <c r="B225" s="56"/>
    </row>
    <row r="226" ht="12.75">
      <c r="B226" s="56"/>
    </row>
    <row r="227" ht="12.75">
      <c r="B227" s="56"/>
    </row>
    <row r="228" ht="12.75">
      <c r="B228" s="56"/>
    </row>
    <row r="229" ht="12.75">
      <c r="B229" s="56"/>
    </row>
    <row r="230" ht="12.75">
      <c r="B230" s="56"/>
    </row>
    <row r="231" ht="12.75">
      <c r="B231" s="56"/>
    </row>
    <row r="232" ht="12.75">
      <c r="B232" s="56"/>
    </row>
    <row r="233" ht="12.75">
      <c r="B233" s="56"/>
    </row>
    <row r="234" ht="12.75">
      <c r="B234" s="56"/>
    </row>
    <row r="235" ht="12.75">
      <c r="B235" s="56"/>
    </row>
    <row r="236" ht="12.75">
      <c r="B236" s="56"/>
    </row>
    <row r="237" ht="12.75">
      <c r="B237" s="56"/>
    </row>
    <row r="238" ht="12.75">
      <c r="B238" s="56"/>
    </row>
    <row r="239" ht="12.75">
      <c r="B239" s="56"/>
    </row>
    <row r="240" ht="12.75">
      <c r="B240" s="56"/>
    </row>
    <row r="241" ht="12.75">
      <c r="B241" s="56"/>
    </row>
    <row r="242" ht="12.75">
      <c r="B242" s="56"/>
    </row>
    <row r="243" ht="12.75">
      <c r="B243" s="56"/>
    </row>
    <row r="244" ht="12.75">
      <c r="B244" s="56"/>
    </row>
    <row r="245" ht="12.75">
      <c r="B245" s="56"/>
    </row>
    <row r="246" ht="12.75">
      <c r="B246" s="56"/>
    </row>
    <row r="247" ht="12.75">
      <c r="B247" s="56"/>
    </row>
    <row r="248" ht="12.75">
      <c r="B248" s="56"/>
    </row>
    <row r="249" ht="12.75">
      <c r="B249" s="56"/>
    </row>
    <row r="250" ht="12.75">
      <c r="B250" s="56"/>
    </row>
    <row r="251" ht="12.75">
      <c r="B251" s="56"/>
    </row>
    <row r="252" ht="12.75">
      <c r="B252" s="56"/>
    </row>
    <row r="253" ht="12.75">
      <c r="B253" s="56"/>
    </row>
    <row r="254" ht="12.75">
      <c r="B254" s="56"/>
    </row>
    <row r="255" ht="12.75">
      <c r="B255" s="56"/>
    </row>
    <row r="256" ht="12.75">
      <c r="B256" s="56"/>
    </row>
    <row r="257" ht="12.75">
      <c r="B257" s="56"/>
    </row>
    <row r="258" ht="12.75">
      <c r="B258" s="56"/>
    </row>
    <row r="259" ht="12.75">
      <c r="B259" s="56"/>
    </row>
    <row r="260" ht="12.75">
      <c r="B260" s="56"/>
    </row>
    <row r="261" ht="12.75">
      <c r="B261" s="56"/>
    </row>
    <row r="262" ht="12.75">
      <c r="B262" s="56"/>
    </row>
    <row r="263" ht="12.75">
      <c r="B263" s="56"/>
    </row>
    <row r="264" ht="12.75">
      <c r="B264" s="56"/>
    </row>
    <row r="265" ht="12.75">
      <c r="B265" s="56"/>
    </row>
    <row r="266" ht="12.75">
      <c r="B266" s="56"/>
    </row>
    <row r="267" ht="12.75">
      <c r="B267" s="56"/>
    </row>
    <row r="268" ht="12.75">
      <c r="B268" s="56"/>
    </row>
    <row r="269" ht="12.75">
      <c r="B269" s="56"/>
    </row>
    <row r="270" ht="12.75">
      <c r="B270" s="56"/>
    </row>
    <row r="271" ht="12.75">
      <c r="B271" s="56"/>
    </row>
    <row r="272" ht="12.75">
      <c r="B272" s="56"/>
    </row>
    <row r="273" ht="12.75">
      <c r="B273" s="56"/>
    </row>
    <row r="274" ht="12.75">
      <c r="B274" s="56"/>
    </row>
    <row r="275" ht="12.75">
      <c r="B275" s="56"/>
    </row>
    <row r="276" ht="12.75">
      <c r="B276" s="56"/>
    </row>
    <row r="277" ht="12.75">
      <c r="B277" s="56"/>
    </row>
    <row r="278" ht="12.75">
      <c r="B278" s="56"/>
    </row>
    <row r="279" ht="12.75">
      <c r="B279" s="56"/>
    </row>
    <row r="280" ht="12.75">
      <c r="B280" s="56"/>
    </row>
    <row r="281" ht="12.75">
      <c r="B281" s="56"/>
    </row>
    <row r="282" ht="12.75">
      <c r="B282" s="56"/>
    </row>
    <row r="283" ht="12.75">
      <c r="B283" s="56"/>
    </row>
    <row r="284" ht="12.75">
      <c r="B284" s="56"/>
    </row>
    <row r="285" ht="12.75">
      <c r="B285" s="56"/>
    </row>
    <row r="286" ht="12.75">
      <c r="B286" s="56"/>
    </row>
    <row r="287" ht="12.75">
      <c r="B287" s="56"/>
    </row>
    <row r="288" ht="12.75">
      <c r="B288" s="56"/>
    </row>
    <row r="289" ht="12.75">
      <c r="B289" s="56"/>
    </row>
    <row r="290" ht="12.75">
      <c r="B290" s="56"/>
    </row>
    <row r="291" ht="12.75">
      <c r="B291" s="56"/>
    </row>
    <row r="292" ht="12.75">
      <c r="B292" s="56"/>
    </row>
    <row r="293" ht="12.75">
      <c r="B293" s="56"/>
    </row>
    <row r="294" ht="12.75">
      <c r="B294" s="56"/>
    </row>
    <row r="295" ht="12.75">
      <c r="B295" s="56"/>
    </row>
    <row r="296" ht="12.75">
      <c r="B296" s="56"/>
    </row>
    <row r="297" ht="12.75">
      <c r="B297" s="56"/>
    </row>
    <row r="298" ht="12.75">
      <c r="B298" s="56"/>
    </row>
    <row r="299" ht="12.75">
      <c r="B299" s="56"/>
    </row>
    <row r="300" ht="12.75">
      <c r="B300" s="56"/>
    </row>
    <row r="301" ht="12.75">
      <c r="B301" s="56"/>
    </row>
    <row r="302" ht="12.75">
      <c r="B302" s="56"/>
    </row>
    <row r="303" ht="12.75">
      <c r="B303" s="56"/>
    </row>
    <row r="304" ht="12.75">
      <c r="B304" s="56"/>
    </row>
    <row r="305" ht="12.75">
      <c r="B305" s="56"/>
    </row>
    <row r="306" ht="12.75">
      <c r="B306" s="56"/>
    </row>
    <row r="307" ht="12.75">
      <c r="B307" s="56"/>
    </row>
    <row r="308" ht="12.75">
      <c r="B308" s="56"/>
    </row>
    <row r="309" ht="12.75">
      <c r="B309" s="56"/>
    </row>
    <row r="310" ht="12.75">
      <c r="B310" s="56"/>
    </row>
    <row r="311" ht="12.75">
      <c r="B311" s="56"/>
    </row>
    <row r="312" ht="12.75">
      <c r="B312" s="56"/>
    </row>
    <row r="313" ht="12.75">
      <c r="B313" s="56"/>
    </row>
    <row r="314" ht="12.75">
      <c r="B314" s="56"/>
    </row>
    <row r="315" ht="12.75">
      <c r="B315" s="56"/>
    </row>
    <row r="316" ht="12.75">
      <c r="B316" s="56"/>
    </row>
    <row r="317" ht="12.75">
      <c r="B317" s="56"/>
    </row>
    <row r="318" ht="12.75">
      <c r="B318" s="56"/>
    </row>
    <row r="319" ht="12.75">
      <c r="B319" s="56"/>
    </row>
    <row r="320" ht="12.75">
      <c r="B320" s="56"/>
    </row>
    <row r="321" ht="12.75">
      <c r="B321" s="56"/>
    </row>
    <row r="322" ht="12.75">
      <c r="B322" s="56"/>
    </row>
    <row r="323" ht="12.75">
      <c r="B323" s="56"/>
    </row>
    <row r="324" ht="12.75">
      <c r="B324" s="56"/>
    </row>
    <row r="325" ht="12.75">
      <c r="B325" s="56"/>
    </row>
    <row r="326" ht="12.75">
      <c r="B326" s="56"/>
    </row>
    <row r="327" ht="12.75">
      <c r="B327" s="56"/>
    </row>
    <row r="328" ht="12.75">
      <c r="B328" s="56"/>
    </row>
    <row r="329" ht="12.75">
      <c r="B329" s="56"/>
    </row>
    <row r="330" ht="12.75">
      <c r="B330" s="56"/>
    </row>
    <row r="331" ht="12.75">
      <c r="B331" s="56"/>
    </row>
    <row r="332" ht="12.75">
      <c r="B332" s="56"/>
    </row>
    <row r="333" ht="12.75">
      <c r="B333" s="56"/>
    </row>
    <row r="334" ht="12.75">
      <c r="B334" s="56"/>
    </row>
    <row r="335" ht="12.75">
      <c r="B335" s="56"/>
    </row>
    <row r="336" ht="12.75">
      <c r="B336" s="56"/>
    </row>
    <row r="337" ht="12.75">
      <c r="B337" s="56"/>
    </row>
    <row r="338" ht="12.75">
      <c r="B338" s="56"/>
    </row>
    <row r="339" ht="12.75">
      <c r="B339" s="56"/>
    </row>
    <row r="340" ht="12.75">
      <c r="B340" s="56"/>
    </row>
    <row r="341" ht="12.75">
      <c r="B341" s="56"/>
    </row>
    <row r="342" ht="12.75">
      <c r="B342" s="56"/>
    </row>
    <row r="343" ht="12.75">
      <c r="B343" s="56"/>
    </row>
    <row r="344" ht="12.75">
      <c r="B344" s="56"/>
    </row>
    <row r="345" ht="12.75">
      <c r="B345" s="56"/>
    </row>
    <row r="346" ht="12.75">
      <c r="B346" s="56"/>
    </row>
    <row r="347" ht="12.75">
      <c r="B347" s="56"/>
    </row>
    <row r="348" ht="12.75">
      <c r="B348" s="56"/>
    </row>
    <row r="349" ht="12.75">
      <c r="B349" s="56"/>
    </row>
    <row r="350" ht="12.75">
      <c r="B350" s="56"/>
    </row>
    <row r="351" ht="12.75">
      <c r="B351" s="56"/>
    </row>
    <row r="352" ht="12.75">
      <c r="B352" s="56"/>
    </row>
    <row r="353" ht="12.75">
      <c r="B353" s="56"/>
    </row>
    <row r="354" ht="12.75">
      <c r="B354" s="56"/>
    </row>
    <row r="355" ht="12.75">
      <c r="B355" s="56"/>
    </row>
    <row r="356" ht="12.75">
      <c r="B356" s="56"/>
    </row>
    <row r="357" ht="12.75">
      <c r="B357" s="56"/>
    </row>
    <row r="358" ht="12.75">
      <c r="B358" s="56"/>
    </row>
    <row r="359" ht="12.75">
      <c r="B359" s="56"/>
    </row>
    <row r="360" ht="12.75">
      <c r="B360" s="56"/>
    </row>
    <row r="361" ht="12.75">
      <c r="B361" s="56"/>
    </row>
    <row r="362" ht="12.75">
      <c r="B362" s="56"/>
    </row>
    <row r="363" ht="12.75">
      <c r="B363" s="56"/>
    </row>
    <row r="364" ht="12.75">
      <c r="B364" s="56"/>
    </row>
    <row r="365" ht="12.75">
      <c r="B365" s="56"/>
    </row>
    <row r="366" ht="12.75">
      <c r="B366" s="56"/>
    </row>
    <row r="367" ht="12.75">
      <c r="B367" s="56"/>
    </row>
    <row r="368" ht="12.75">
      <c r="B368" s="56"/>
    </row>
    <row r="369" ht="12.75">
      <c r="B369" s="56"/>
    </row>
    <row r="370" ht="12.75">
      <c r="B370" s="56"/>
    </row>
    <row r="371" ht="12.75">
      <c r="B371" s="56"/>
    </row>
    <row r="372" ht="12.75">
      <c r="B372" s="56"/>
    </row>
    <row r="373" ht="12.75">
      <c r="B373" s="56"/>
    </row>
    <row r="374" ht="12.75">
      <c r="B374" s="56"/>
    </row>
    <row r="375" ht="12.75">
      <c r="B375" s="56"/>
    </row>
    <row r="376" ht="12.75">
      <c r="B376" s="56"/>
    </row>
    <row r="377" ht="12.75">
      <c r="B377" s="56"/>
    </row>
    <row r="378" ht="12.75">
      <c r="B378" s="56"/>
    </row>
    <row r="379" ht="12.75">
      <c r="B379" s="56"/>
    </row>
    <row r="380" ht="12.75">
      <c r="B380" s="56"/>
    </row>
    <row r="381" ht="12.75">
      <c r="B381" s="56"/>
    </row>
    <row r="382" ht="12.75">
      <c r="B382" s="56"/>
    </row>
    <row r="383" ht="12.75">
      <c r="B383" s="56"/>
    </row>
    <row r="384" ht="12.75">
      <c r="B384" s="56"/>
    </row>
    <row r="385" ht="12.75">
      <c r="B385" s="56"/>
    </row>
    <row r="386" ht="12.75">
      <c r="B386" s="56"/>
    </row>
    <row r="387" ht="12.75">
      <c r="B387" s="56"/>
    </row>
    <row r="388" ht="12.75">
      <c r="B388" s="56"/>
    </row>
    <row r="389" ht="12.75">
      <c r="B389" s="56"/>
    </row>
    <row r="390" ht="12.75">
      <c r="B390" s="56"/>
    </row>
    <row r="391" ht="12.75">
      <c r="B391" s="56"/>
    </row>
    <row r="392" ht="12.75">
      <c r="B392" s="56"/>
    </row>
    <row r="393" ht="12.75">
      <c r="B393" s="56"/>
    </row>
    <row r="394" ht="12.75">
      <c r="B394" s="56"/>
    </row>
    <row r="395" ht="12.75">
      <c r="B395" s="56"/>
    </row>
    <row r="396" ht="12.75">
      <c r="B396" s="56"/>
    </row>
    <row r="397" ht="12.75">
      <c r="B397" s="56"/>
    </row>
    <row r="398" ht="12.75">
      <c r="B398" s="56"/>
    </row>
    <row r="399" ht="12.75">
      <c r="B399" s="56"/>
    </row>
    <row r="400" ht="12.75">
      <c r="B400" s="56"/>
    </row>
    <row r="401" ht="12.75">
      <c r="B401" s="56"/>
    </row>
    <row r="402" ht="12.75">
      <c r="B402" s="56"/>
    </row>
    <row r="403" ht="12.75">
      <c r="B403" s="56"/>
    </row>
    <row r="404" ht="12.75">
      <c r="B404" s="56"/>
    </row>
    <row r="405" ht="12.75">
      <c r="B405" s="56"/>
    </row>
    <row r="406" ht="12.75">
      <c r="B406" s="56"/>
    </row>
    <row r="407" ht="12.75">
      <c r="B407" s="56"/>
    </row>
    <row r="408" ht="12.75">
      <c r="B408" s="56"/>
    </row>
    <row r="409" ht="12.75">
      <c r="B409" s="56"/>
    </row>
    <row r="410" ht="12.75">
      <c r="B410" s="56"/>
    </row>
    <row r="411" ht="12.75">
      <c r="B411" s="56"/>
    </row>
    <row r="412" ht="12.75">
      <c r="B412" s="56"/>
    </row>
    <row r="413" ht="12.75">
      <c r="B413" s="56"/>
    </row>
    <row r="414" ht="12.75">
      <c r="B414" s="56"/>
    </row>
    <row r="415" ht="12.75">
      <c r="B415" s="56"/>
    </row>
    <row r="416" ht="12.75">
      <c r="B416" s="56"/>
    </row>
    <row r="417" ht="12.75">
      <c r="B417" s="56"/>
    </row>
    <row r="418" ht="12.75">
      <c r="B418" s="56"/>
    </row>
    <row r="419" ht="12.75">
      <c r="B419" s="56"/>
    </row>
    <row r="420" ht="12.75">
      <c r="B420" s="56"/>
    </row>
    <row r="421" ht="12.75">
      <c r="B421" s="56"/>
    </row>
    <row r="422" ht="12.75">
      <c r="B422" s="56"/>
    </row>
    <row r="423" ht="12.75">
      <c r="B423" s="56"/>
    </row>
    <row r="424" ht="12.75">
      <c r="B424" s="56"/>
    </row>
    <row r="425" ht="12.75">
      <c r="B425" s="56"/>
    </row>
    <row r="426" ht="12.75">
      <c r="B426" s="56"/>
    </row>
    <row r="427" ht="12.75">
      <c r="B427" s="56"/>
    </row>
    <row r="428" ht="12.75">
      <c r="B428" s="56"/>
    </row>
    <row r="429" ht="12.75">
      <c r="B429" s="56"/>
    </row>
    <row r="430" ht="12.75">
      <c r="B430" s="56"/>
    </row>
    <row r="431" ht="12.75">
      <c r="B431" s="56"/>
    </row>
    <row r="432" ht="12.75">
      <c r="B432" s="56"/>
    </row>
    <row r="433" ht="12.75">
      <c r="B433" s="56"/>
    </row>
    <row r="434" ht="12.75">
      <c r="B434" s="56"/>
    </row>
    <row r="435" ht="12.75">
      <c r="B435" s="56"/>
    </row>
    <row r="436" ht="12.75">
      <c r="B436" s="56"/>
    </row>
    <row r="437" ht="12.75">
      <c r="B437" s="56"/>
    </row>
    <row r="438" ht="12.75">
      <c r="B438" s="56"/>
    </row>
    <row r="439" ht="12.75">
      <c r="B439" s="56"/>
    </row>
    <row r="440" ht="12.75">
      <c r="B440" s="56"/>
    </row>
    <row r="441" ht="12.75">
      <c r="B441" s="56"/>
    </row>
    <row r="442" ht="12.75">
      <c r="B442" s="56"/>
    </row>
    <row r="443" ht="12.75">
      <c r="B443" s="56"/>
    </row>
    <row r="444" ht="12.75">
      <c r="B444" s="56"/>
    </row>
    <row r="445" ht="12.75">
      <c r="B445" s="56"/>
    </row>
    <row r="446" ht="12.75">
      <c r="B446" s="56"/>
    </row>
    <row r="447" ht="12.75">
      <c r="B447" s="56"/>
    </row>
    <row r="448" ht="12.75">
      <c r="B448" s="56"/>
    </row>
    <row r="449" ht="12.75">
      <c r="B449" s="56"/>
    </row>
    <row r="450" ht="12.75">
      <c r="B450" s="56"/>
    </row>
    <row r="451" ht="12.75">
      <c r="B451" s="56"/>
    </row>
    <row r="452" ht="12.75">
      <c r="B452" s="56"/>
    </row>
    <row r="453" ht="12.75">
      <c r="B453" s="56"/>
    </row>
    <row r="454" ht="12.75">
      <c r="B454" s="56"/>
    </row>
    <row r="455" ht="12.75">
      <c r="B455" s="56"/>
    </row>
    <row r="456" ht="12.75">
      <c r="B456" s="56"/>
    </row>
    <row r="457" ht="12.75">
      <c r="B457" s="56"/>
    </row>
    <row r="458" ht="12.75">
      <c r="B458" s="56"/>
    </row>
    <row r="459" ht="12.75">
      <c r="B459" s="56"/>
    </row>
    <row r="460" ht="12.75">
      <c r="B460" s="56"/>
    </row>
    <row r="461" ht="12.75">
      <c r="B461" s="56"/>
    </row>
    <row r="462" ht="12.75">
      <c r="B462" s="56"/>
    </row>
    <row r="463" ht="12.75">
      <c r="B463" s="56"/>
    </row>
    <row r="464" ht="12.75">
      <c r="B464" s="56"/>
    </row>
    <row r="465" ht="12.75">
      <c r="B465" s="56"/>
    </row>
    <row r="466" ht="12.75">
      <c r="B466" s="56"/>
    </row>
    <row r="467" ht="12.75">
      <c r="B467" s="56"/>
    </row>
    <row r="468" ht="12.75">
      <c r="B468" s="56"/>
    </row>
    <row r="469" ht="12.75">
      <c r="B469" s="56"/>
    </row>
    <row r="470" ht="12.75">
      <c r="B470" s="56"/>
    </row>
    <row r="471" ht="12.75">
      <c r="B471" s="56"/>
    </row>
    <row r="472" ht="12.75">
      <c r="B472" s="56"/>
    </row>
    <row r="473" ht="12.75">
      <c r="B473" s="56"/>
    </row>
    <row r="474" ht="12.75">
      <c r="B474" s="56"/>
    </row>
    <row r="475" ht="12.75">
      <c r="B475" s="56"/>
    </row>
    <row r="476" ht="12.75">
      <c r="B476" s="56"/>
    </row>
    <row r="477" ht="12.75">
      <c r="B477" s="56"/>
    </row>
    <row r="478" ht="12.75">
      <c r="B478" s="56"/>
    </row>
    <row r="479" ht="12.75">
      <c r="B479" s="56"/>
    </row>
    <row r="480" ht="12.75">
      <c r="B480" s="56"/>
    </row>
    <row r="481" ht="12.75">
      <c r="B481" s="56"/>
    </row>
    <row r="482" ht="12.75">
      <c r="B482" s="56"/>
    </row>
    <row r="483" ht="12.75">
      <c r="B483" s="56"/>
    </row>
    <row r="484" ht="12.75">
      <c r="B484" s="56"/>
    </row>
    <row r="485" ht="12.75">
      <c r="B485" s="56"/>
    </row>
    <row r="486" ht="12.75">
      <c r="B486" s="56"/>
    </row>
    <row r="487" ht="12.75">
      <c r="B487" s="56"/>
    </row>
    <row r="488" ht="12.75">
      <c r="B488" s="56"/>
    </row>
    <row r="489" ht="12.75">
      <c r="B489" s="56"/>
    </row>
    <row r="490" ht="12.75">
      <c r="B490" s="56"/>
    </row>
    <row r="491" ht="12.75">
      <c r="B491" s="56"/>
    </row>
    <row r="492" ht="12.75">
      <c r="B492" s="56"/>
    </row>
    <row r="493" ht="12.75">
      <c r="B493" s="56"/>
    </row>
    <row r="494" ht="12.75">
      <c r="B494" s="56"/>
    </row>
    <row r="495" ht="12.75">
      <c r="B495" s="56"/>
    </row>
    <row r="496" ht="12.75">
      <c r="B496" s="56"/>
    </row>
    <row r="497" ht="12.75">
      <c r="B497" s="56"/>
    </row>
    <row r="498" ht="12.75">
      <c r="B498" s="56"/>
    </row>
    <row r="499" ht="12.75">
      <c r="B499" s="56"/>
    </row>
    <row r="500" ht="12.75">
      <c r="B500" s="56"/>
    </row>
    <row r="501" ht="12.75">
      <c r="B501" s="56"/>
    </row>
    <row r="502" ht="12.75">
      <c r="B502" s="56"/>
    </row>
    <row r="503" ht="12.75">
      <c r="B503" s="56"/>
    </row>
    <row r="504" ht="12.75">
      <c r="B504" s="56"/>
    </row>
    <row r="505" ht="12.75">
      <c r="B505" s="56"/>
    </row>
    <row r="506" ht="12.75">
      <c r="B506" s="56"/>
    </row>
    <row r="507" ht="12.75">
      <c r="B507" s="56"/>
    </row>
    <row r="508" ht="12.75">
      <c r="B508" s="56"/>
    </row>
    <row r="509" ht="12.75">
      <c r="B509" s="56"/>
    </row>
    <row r="510" ht="12.75">
      <c r="B510" s="56"/>
    </row>
    <row r="511" ht="12.75">
      <c r="B511" s="56"/>
    </row>
    <row r="512" ht="12.75">
      <c r="B512" s="56"/>
    </row>
    <row r="513" ht="12.75">
      <c r="B513" s="56"/>
    </row>
    <row r="514" ht="12.75">
      <c r="B514" s="56"/>
    </row>
    <row r="515" ht="12.75">
      <c r="B515" s="56"/>
    </row>
    <row r="516" ht="12.75">
      <c r="B516" s="56"/>
    </row>
    <row r="517" ht="12.75">
      <c r="B517" s="56"/>
    </row>
    <row r="518" ht="12.75">
      <c r="B518" s="56"/>
    </row>
    <row r="519" ht="12.75">
      <c r="B519" s="56"/>
    </row>
    <row r="520" ht="12.75">
      <c r="B520" s="56"/>
    </row>
    <row r="521" ht="12.75">
      <c r="B521" s="56"/>
    </row>
    <row r="522" ht="12.75">
      <c r="B522" s="56"/>
    </row>
    <row r="523" ht="12.75">
      <c r="B523" s="56"/>
    </row>
    <row r="524" ht="12.75">
      <c r="B524" s="56"/>
    </row>
    <row r="525" ht="12.75">
      <c r="B525" s="56"/>
    </row>
    <row r="526" ht="12.75">
      <c r="B526" s="56"/>
    </row>
    <row r="527" ht="12.75">
      <c r="B527" s="56"/>
    </row>
    <row r="528" ht="12.75">
      <c r="B528" s="56"/>
    </row>
    <row r="529" ht="12.75">
      <c r="B529" s="56"/>
    </row>
    <row r="530" ht="12.75">
      <c r="B530" s="56"/>
    </row>
    <row r="531" ht="12.75">
      <c r="B531" s="56"/>
    </row>
    <row r="532" ht="12.75">
      <c r="B532" s="56"/>
    </row>
    <row r="533" ht="12.75">
      <c r="B533" s="56"/>
    </row>
    <row r="534" ht="12.75">
      <c r="B534" s="56"/>
    </row>
    <row r="535" ht="12.75">
      <c r="B535" s="56"/>
    </row>
    <row r="536" ht="12.75">
      <c r="B536" s="56"/>
    </row>
    <row r="537" ht="12.75">
      <c r="B537" s="56"/>
    </row>
    <row r="538" ht="12.75">
      <c r="B538" s="56"/>
    </row>
    <row r="539" ht="12.75">
      <c r="B539" s="56"/>
    </row>
    <row r="540" ht="12.75">
      <c r="B540" s="56"/>
    </row>
    <row r="541" ht="12.75">
      <c r="B541" s="56"/>
    </row>
    <row r="542" ht="12.75">
      <c r="B542" s="56"/>
    </row>
    <row r="543" ht="12.75">
      <c r="B543" s="56"/>
    </row>
    <row r="544" ht="12.75">
      <c r="B544" s="56"/>
    </row>
  </sheetData>
  <sheetProtection/>
  <mergeCells count="4">
    <mergeCell ref="A2:B2"/>
    <mergeCell ref="A3:B3"/>
    <mergeCell ref="A1:B1"/>
    <mergeCell ref="A5:B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rgb="FFFFFF00"/>
  </sheetPr>
  <dimension ref="A1:D11"/>
  <sheetViews>
    <sheetView view="pageBreakPreview" zoomScale="120" zoomScaleSheetLayoutView="120" zoomScalePageLayoutView="0" workbookViewId="0" topLeftCell="A1">
      <selection activeCell="A19" sqref="A19"/>
    </sheetView>
  </sheetViews>
  <sheetFormatPr defaultColWidth="9.140625" defaultRowHeight="15"/>
  <cols>
    <col min="1" max="1" width="63.57421875" style="47" customWidth="1"/>
    <col min="2" max="2" width="23.00390625" style="47" bestFit="1" customWidth="1"/>
    <col min="3" max="3" width="20.421875" style="47" customWidth="1"/>
    <col min="4" max="16384" width="9.140625" style="47" customWidth="1"/>
  </cols>
  <sheetData>
    <row r="1" spans="1:2" ht="25.5" customHeight="1">
      <c r="A1" s="180" t="s">
        <v>107</v>
      </c>
      <c r="B1" s="180"/>
    </row>
    <row r="2" spans="1:4" ht="87" customHeight="1">
      <c r="A2" s="169" t="s">
        <v>165</v>
      </c>
      <c r="B2" s="169"/>
      <c r="C2" s="55"/>
      <c r="D2" s="55"/>
    </row>
    <row r="3" spans="1:2" ht="13.5" thickBot="1">
      <c r="A3" s="170" t="s">
        <v>18</v>
      </c>
      <c r="B3" s="170"/>
    </row>
    <row r="4" spans="1:2" s="53" customFormat="1" ht="12.75">
      <c r="A4" s="15" t="s">
        <v>36</v>
      </c>
      <c r="B4" s="16" t="s">
        <v>37</v>
      </c>
    </row>
    <row r="5" spans="1:2" ht="12.75">
      <c r="A5" s="49" t="s">
        <v>159</v>
      </c>
      <c r="B5" s="168">
        <v>2840110.92</v>
      </c>
    </row>
    <row r="6" spans="1:2" ht="12.75">
      <c r="A6" s="49" t="s">
        <v>160</v>
      </c>
      <c r="B6" s="168">
        <v>9195923.18</v>
      </c>
    </row>
    <row r="7" spans="1:2" ht="12.75">
      <c r="A7" s="49" t="s">
        <v>161</v>
      </c>
      <c r="B7" s="168">
        <v>296777.89</v>
      </c>
    </row>
    <row r="8" spans="1:2" ht="12.75">
      <c r="A8" s="49" t="s">
        <v>162</v>
      </c>
      <c r="B8" s="168">
        <v>118179.74</v>
      </c>
    </row>
    <row r="9" spans="1:2" ht="12.75">
      <c r="A9" s="49" t="s">
        <v>166</v>
      </c>
      <c r="B9" s="168">
        <v>69210.32</v>
      </c>
    </row>
    <row r="10" spans="1:2" ht="13.5" thickBot="1">
      <c r="A10" s="50"/>
      <c r="B10" s="51"/>
    </row>
    <row r="11" spans="1:2" ht="56.25" customHeight="1">
      <c r="A11" s="223" t="s">
        <v>113</v>
      </c>
      <c r="B11" s="223"/>
    </row>
  </sheetData>
  <sheetProtection/>
  <mergeCells count="4">
    <mergeCell ref="A2:B2"/>
    <mergeCell ref="A3:B3"/>
    <mergeCell ref="A1:B1"/>
    <mergeCell ref="A11:B11"/>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FF00"/>
  </sheetPr>
  <dimension ref="A1:B543"/>
  <sheetViews>
    <sheetView view="pageBreakPreview" zoomScale="110" zoomScaleSheetLayoutView="110" zoomScalePageLayoutView="0" workbookViewId="0" topLeftCell="A1">
      <selection activeCell="A18" sqref="A18"/>
    </sheetView>
  </sheetViews>
  <sheetFormatPr defaultColWidth="9.140625" defaultRowHeight="15"/>
  <cols>
    <col min="1" max="1" width="87.57421875" style="56" customWidth="1"/>
    <col min="2" max="2" width="24.00390625" style="57" customWidth="1"/>
    <col min="3" max="16384" width="9.140625" style="56" customWidth="1"/>
  </cols>
  <sheetData>
    <row r="1" spans="1:2" ht="56.25" customHeight="1">
      <c r="A1" s="180" t="s">
        <v>108</v>
      </c>
      <c r="B1" s="180"/>
    </row>
    <row r="2" spans="1:2" s="29" customFormat="1" ht="78.75" customHeight="1">
      <c r="A2" s="224" t="s">
        <v>163</v>
      </c>
      <c r="B2" s="224"/>
    </row>
    <row r="3" spans="1:2" ht="13.5" thickBot="1">
      <c r="A3" s="228" t="s">
        <v>18</v>
      </c>
      <c r="B3" s="228"/>
    </row>
    <row r="4" spans="1:2" s="63" customFormat="1" ht="52.5" customHeight="1" thickBot="1">
      <c r="A4" s="92" t="s">
        <v>164</v>
      </c>
      <c r="B4" s="93">
        <v>10222.59</v>
      </c>
    </row>
    <row r="5" spans="1:2" s="63" customFormat="1" ht="52.5" customHeight="1">
      <c r="A5" s="223" t="s">
        <v>126</v>
      </c>
      <c r="B5" s="223"/>
    </row>
    <row r="6" spans="1:2" ht="38.25" customHeight="1">
      <c r="A6" s="229" t="s">
        <v>125</v>
      </c>
      <c r="B6" s="230"/>
    </row>
    <row r="7" ht="12.75">
      <c r="B7" s="56"/>
    </row>
    <row r="8" ht="12.75">
      <c r="B8" s="56"/>
    </row>
    <row r="9" ht="12.75">
      <c r="B9" s="56"/>
    </row>
    <row r="10" ht="12.75">
      <c r="B10" s="56"/>
    </row>
    <row r="11" ht="12.75">
      <c r="B11" s="56"/>
    </row>
    <row r="12" ht="12.75">
      <c r="B12" s="56"/>
    </row>
    <row r="13" ht="12.75">
      <c r="B13" s="56"/>
    </row>
    <row r="14" ht="12.75">
      <c r="B14" s="56"/>
    </row>
    <row r="15" ht="12.75">
      <c r="B15" s="56"/>
    </row>
    <row r="16" ht="12.75">
      <c r="B16" s="56"/>
    </row>
    <row r="17" ht="12.75">
      <c r="B17" s="56"/>
    </row>
    <row r="18" ht="12.75">
      <c r="B18" s="56"/>
    </row>
    <row r="19" ht="12.75">
      <c r="B19" s="56"/>
    </row>
    <row r="20" ht="12.75">
      <c r="B20" s="56"/>
    </row>
    <row r="21" ht="12.75">
      <c r="B21" s="56"/>
    </row>
    <row r="22" ht="12.75">
      <c r="B22" s="56"/>
    </row>
    <row r="23" ht="12.75">
      <c r="B23" s="56"/>
    </row>
    <row r="24" ht="12.75">
      <c r="B24" s="56"/>
    </row>
    <row r="25" ht="12.75">
      <c r="B25" s="56"/>
    </row>
    <row r="26" ht="12.75">
      <c r="B26" s="56"/>
    </row>
    <row r="27" ht="12.75">
      <c r="B27" s="56"/>
    </row>
    <row r="28" ht="12.75">
      <c r="B28" s="56"/>
    </row>
    <row r="29" ht="12.75">
      <c r="B29" s="56"/>
    </row>
    <row r="30" ht="12.75">
      <c r="B30" s="56"/>
    </row>
    <row r="31" ht="12.75">
      <c r="B31" s="56"/>
    </row>
    <row r="32" ht="12.75">
      <c r="B32" s="56"/>
    </row>
    <row r="33" ht="12.75">
      <c r="B33" s="56"/>
    </row>
    <row r="34" ht="12.75">
      <c r="B34" s="56"/>
    </row>
    <row r="35" ht="12.75">
      <c r="B35" s="56"/>
    </row>
    <row r="36" ht="12.75">
      <c r="B36" s="56"/>
    </row>
    <row r="37" ht="12.75">
      <c r="B37" s="56"/>
    </row>
    <row r="38" ht="12.75">
      <c r="B38" s="56"/>
    </row>
    <row r="39" ht="12.75">
      <c r="B39" s="56"/>
    </row>
    <row r="40" ht="12.75">
      <c r="B40" s="56"/>
    </row>
    <row r="41" ht="12.75">
      <c r="B41" s="56"/>
    </row>
    <row r="42" ht="12.75">
      <c r="B42" s="56"/>
    </row>
    <row r="43" ht="12.75">
      <c r="B43" s="56"/>
    </row>
    <row r="44" ht="12.75">
      <c r="B44" s="56"/>
    </row>
    <row r="45" ht="12.75">
      <c r="B45" s="56"/>
    </row>
    <row r="46" ht="12.75">
      <c r="B46" s="56"/>
    </row>
    <row r="47" ht="12.75">
      <c r="B47" s="56"/>
    </row>
    <row r="48" ht="12.75">
      <c r="B48" s="56"/>
    </row>
    <row r="49" ht="12.75">
      <c r="B49" s="56"/>
    </row>
    <row r="50" ht="12.75">
      <c r="B50" s="56"/>
    </row>
    <row r="51" ht="12.75">
      <c r="B51" s="56"/>
    </row>
    <row r="52" ht="12.75">
      <c r="B52" s="56"/>
    </row>
    <row r="53" ht="12.75">
      <c r="B53" s="56"/>
    </row>
    <row r="54" ht="12.75">
      <c r="B54" s="56"/>
    </row>
    <row r="55" ht="12.75">
      <c r="B55" s="56"/>
    </row>
    <row r="56" ht="12.75">
      <c r="B56" s="56"/>
    </row>
    <row r="57" ht="12.75">
      <c r="B57" s="56"/>
    </row>
    <row r="58" ht="12.75">
      <c r="B58" s="56"/>
    </row>
    <row r="59" ht="12.75">
      <c r="B59" s="56"/>
    </row>
    <row r="60" ht="12.75">
      <c r="B60" s="56"/>
    </row>
    <row r="61" ht="12.75">
      <c r="B61" s="56"/>
    </row>
    <row r="62" ht="12.75">
      <c r="B62" s="56"/>
    </row>
    <row r="63" ht="12.75">
      <c r="B63" s="56"/>
    </row>
    <row r="64" ht="12.75">
      <c r="B64" s="56"/>
    </row>
    <row r="65" ht="12.75">
      <c r="B65" s="56"/>
    </row>
    <row r="66" ht="12.75">
      <c r="B66" s="56"/>
    </row>
    <row r="67" ht="12.75">
      <c r="B67" s="56"/>
    </row>
    <row r="68" ht="12.75">
      <c r="B68" s="56"/>
    </row>
    <row r="69" ht="12.75">
      <c r="B69" s="56"/>
    </row>
    <row r="70" ht="12.75">
      <c r="B70" s="56"/>
    </row>
    <row r="71" ht="12.75">
      <c r="B71" s="56"/>
    </row>
    <row r="72" ht="12.75">
      <c r="B72" s="56"/>
    </row>
    <row r="73" ht="12.75">
      <c r="B73" s="56"/>
    </row>
    <row r="74" ht="12.75">
      <c r="B74" s="56"/>
    </row>
    <row r="75" ht="12.75">
      <c r="B75" s="56"/>
    </row>
    <row r="76" ht="12.75">
      <c r="B76" s="56"/>
    </row>
    <row r="77" ht="12.75">
      <c r="B77" s="56"/>
    </row>
    <row r="78" ht="12.75">
      <c r="B78" s="56"/>
    </row>
    <row r="79" ht="12.75">
      <c r="B79" s="56"/>
    </row>
    <row r="80" ht="12.75">
      <c r="B80" s="56"/>
    </row>
    <row r="81" ht="12.75">
      <c r="B81" s="56"/>
    </row>
    <row r="82" ht="12.75">
      <c r="B82" s="56"/>
    </row>
    <row r="83" ht="12.75">
      <c r="B83" s="56"/>
    </row>
    <row r="84" ht="12.75">
      <c r="B84" s="56"/>
    </row>
    <row r="85" ht="12.75">
      <c r="B85" s="56"/>
    </row>
    <row r="86" ht="12.75">
      <c r="B86" s="56"/>
    </row>
    <row r="87" ht="12.75">
      <c r="B87" s="56"/>
    </row>
    <row r="88" ht="12.75">
      <c r="B88" s="56"/>
    </row>
    <row r="89" ht="12.75">
      <c r="B89" s="56"/>
    </row>
    <row r="90" ht="12.75">
      <c r="B90" s="56"/>
    </row>
    <row r="91" ht="12.75">
      <c r="B91" s="56"/>
    </row>
    <row r="92" ht="12.75">
      <c r="B92" s="56"/>
    </row>
    <row r="93" ht="12.75">
      <c r="B93" s="56"/>
    </row>
    <row r="94" ht="12.75">
      <c r="B94" s="56"/>
    </row>
    <row r="95" ht="12.75">
      <c r="B95" s="56"/>
    </row>
    <row r="96" ht="12.75">
      <c r="B96" s="56"/>
    </row>
    <row r="97" ht="12.75">
      <c r="B97" s="56"/>
    </row>
    <row r="98" ht="12.75">
      <c r="B98" s="56"/>
    </row>
    <row r="99" ht="12.75">
      <c r="B99" s="56"/>
    </row>
    <row r="100" ht="12.75">
      <c r="B100" s="56"/>
    </row>
    <row r="101" ht="12.75">
      <c r="B101" s="56"/>
    </row>
    <row r="102" ht="12.75">
      <c r="B102" s="56"/>
    </row>
    <row r="103" ht="12.75">
      <c r="B103" s="56"/>
    </row>
    <row r="104" ht="12.75">
      <c r="B104" s="56"/>
    </row>
    <row r="105" ht="12.75">
      <c r="B105" s="56"/>
    </row>
    <row r="106" ht="12.75">
      <c r="B106" s="56"/>
    </row>
    <row r="107" ht="12.75">
      <c r="B107" s="56"/>
    </row>
    <row r="108" ht="12.75">
      <c r="B108" s="56"/>
    </row>
    <row r="109" ht="12.75">
      <c r="B109" s="56"/>
    </row>
    <row r="110" ht="12.75">
      <c r="B110" s="56"/>
    </row>
    <row r="111" ht="12.75">
      <c r="B111" s="56"/>
    </row>
    <row r="112" ht="12.75">
      <c r="B112" s="56"/>
    </row>
    <row r="113" ht="12.75">
      <c r="B113" s="56"/>
    </row>
    <row r="114" ht="12.75">
      <c r="B114" s="56"/>
    </row>
    <row r="115" ht="12.75">
      <c r="B115" s="56"/>
    </row>
    <row r="116" ht="12.75">
      <c r="B116" s="56"/>
    </row>
    <row r="117" ht="12.75">
      <c r="B117" s="56"/>
    </row>
    <row r="118" ht="12.75">
      <c r="B118" s="56"/>
    </row>
    <row r="119" ht="12.75">
      <c r="B119" s="56"/>
    </row>
    <row r="120" ht="12.75">
      <c r="B120" s="56"/>
    </row>
    <row r="121" ht="12.75">
      <c r="B121" s="56"/>
    </row>
    <row r="122" ht="12.75">
      <c r="B122" s="56"/>
    </row>
    <row r="123" ht="12.75">
      <c r="B123" s="56"/>
    </row>
    <row r="124" ht="12.75">
      <c r="B124" s="56"/>
    </row>
    <row r="125" ht="12.75">
      <c r="B125" s="56"/>
    </row>
    <row r="126" ht="12.75">
      <c r="B126" s="56"/>
    </row>
    <row r="127" ht="12.75">
      <c r="B127" s="56"/>
    </row>
    <row r="128" ht="12.75">
      <c r="B128" s="56"/>
    </row>
    <row r="129" ht="12.75">
      <c r="B129" s="56"/>
    </row>
    <row r="130" ht="12.75">
      <c r="B130" s="56"/>
    </row>
    <row r="131" ht="12.75">
      <c r="B131" s="56"/>
    </row>
    <row r="132" ht="12.75">
      <c r="B132" s="56"/>
    </row>
    <row r="133" ht="12.75">
      <c r="B133" s="56"/>
    </row>
    <row r="134" ht="12.75">
      <c r="B134" s="56"/>
    </row>
    <row r="135" ht="12.75">
      <c r="B135" s="56"/>
    </row>
    <row r="136" ht="12.75">
      <c r="B136" s="56"/>
    </row>
    <row r="137" ht="12.75">
      <c r="B137" s="56"/>
    </row>
    <row r="138" ht="12.75">
      <c r="B138" s="56"/>
    </row>
    <row r="139" ht="12.75">
      <c r="B139" s="56"/>
    </row>
    <row r="140" ht="12.75">
      <c r="B140" s="56"/>
    </row>
    <row r="141" ht="12.75">
      <c r="B141" s="56"/>
    </row>
    <row r="142" ht="12.75">
      <c r="B142" s="56"/>
    </row>
    <row r="143" ht="12.75">
      <c r="B143" s="56"/>
    </row>
    <row r="144" ht="12.75">
      <c r="B144" s="56"/>
    </row>
    <row r="145" ht="12.75">
      <c r="B145" s="56"/>
    </row>
    <row r="146" ht="12.75">
      <c r="B146" s="56"/>
    </row>
    <row r="147" ht="12.75">
      <c r="B147" s="56"/>
    </row>
    <row r="148" ht="12.75">
      <c r="B148" s="56"/>
    </row>
    <row r="149" ht="12.75">
      <c r="B149" s="56"/>
    </row>
    <row r="150" ht="12.75">
      <c r="B150" s="56"/>
    </row>
    <row r="151" ht="12.75">
      <c r="B151" s="56"/>
    </row>
    <row r="152" ht="12.75">
      <c r="B152" s="56"/>
    </row>
    <row r="153" ht="12.75">
      <c r="B153" s="56"/>
    </row>
    <row r="154" ht="12.75">
      <c r="B154" s="56"/>
    </row>
    <row r="155" ht="12.75">
      <c r="B155" s="56"/>
    </row>
    <row r="156" ht="12.75">
      <c r="B156" s="56"/>
    </row>
    <row r="157" ht="12.75">
      <c r="B157" s="56"/>
    </row>
    <row r="158" ht="12.75">
      <c r="B158" s="56"/>
    </row>
    <row r="159" ht="12.75">
      <c r="B159" s="56"/>
    </row>
    <row r="160" ht="12.75">
      <c r="B160" s="56"/>
    </row>
    <row r="161" ht="12.75">
      <c r="B161" s="56"/>
    </row>
    <row r="162" ht="12.75">
      <c r="B162" s="56"/>
    </row>
    <row r="163" ht="12.75">
      <c r="B163" s="56"/>
    </row>
    <row r="164" ht="12.75">
      <c r="B164" s="56"/>
    </row>
    <row r="165" ht="12.75">
      <c r="B165" s="56"/>
    </row>
    <row r="166" ht="12.75">
      <c r="B166" s="56"/>
    </row>
    <row r="167" ht="12.75">
      <c r="B167" s="56"/>
    </row>
    <row r="168" ht="12.75">
      <c r="B168" s="56"/>
    </row>
    <row r="169" ht="12.75">
      <c r="B169" s="56"/>
    </row>
    <row r="170" ht="12.75">
      <c r="B170" s="56"/>
    </row>
    <row r="171" ht="12.75">
      <c r="B171" s="56"/>
    </row>
    <row r="172" ht="12.75">
      <c r="B172" s="56"/>
    </row>
    <row r="173" ht="12.75">
      <c r="B173" s="56"/>
    </row>
    <row r="174" ht="12.75">
      <c r="B174" s="56"/>
    </row>
    <row r="175" ht="12.75">
      <c r="B175" s="56"/>
    </row>
    <row r="176" ht="12.75">
      <c r="B176" s="56"/>
    </row>
    <row r="177" ht="12.75">
      <c r="B177" s="56"/>
    </row>
    <row r="178" ht="12.75">
      <c r="B178" s="56"/>
    </row>
    <row r="179" ht="12.75">
      <c r="B179" s="56"/>
    </row>
    <row r="180" ht="12.75">
      <c r="B180" s="56"/>
    </row>
    <row r="181" ht="12.75">
      <c r="B181" s="56"/>
    </row>
    <row r="182" ht="12.75">
      <c r="B182" s="56"/>
    </row>
    <row r="183" ht="12.75">
      <c r="B183" s="56"/>
    </row>
    <row r="184" ht="12.75">
      <c r="B184" s="56"/>
    </row>
    <row r="185" ht="12.75">
      <c r="B185" s="56"/>
    </row>
    <row r="186" ht="12.75">
      <c r="B186" s="56"/>
    </row>
    <row r="187" ht="12.75">
      <c r="B187" s="56"/>
    </row>
    <row r="188" ht="12.75">
      <c r="B188" s="56"/>
    </row>
    <row r="189" ht="12.75">
      <c r="B189" s="56"/>
    </row>
    <row r="190" ht="12.75">
      <c r="B190" s="56"/>
    </row>
    <row r="191" ht="12.75">
      <c r="B191" s="56"/>
    </row>
    <row r="192" ht="12.75">
      <c r="B192" s="56"/>
    </row>
    <row r="193" ht="12.75">
      <c r="B193" s="56"/>
    </row>
    <row r="194" ht="12.75">
      <c r="B194" s="56"/>
    </row>
    <row r="195" ht="12.75">
      <c r="B195" s="56"/>
    </row>
    <row r="196" ht="12.75">
      <c r="B196" s="56"/>
    </row>
    <row r="197" ht="12.75">
      <c r="B197" s="56"/>
    </row>
    <row r="198" ht="12.75">
      <c r="B198" s="56"/>
    </row>
    <row r="199" ht="12.75">
      <c r="B199" s="56"/>
    </row>
    <row r="200" ht="12.75">
      <c r="B200" s="56"/>
    </row>
    <row r="201" ht="12.75">
      <c r="B201" s="56"/>
    </row>
    <row r="202" ht="12.75">
      <c r="B202" s="56"/>
    </row>
    <row r="203" ht="12.75">
      <c r="B203" s="56"/>
    </row>
    <row r="204" ht="12.75">
      <c r="B204" s="56"/>
    </row>
    <row r="205" ht="12.75">
      <c r="B205" s="56"/>
    </row>
    <row r="206" ht="12.75">
      <c r="B206" s="56"/>
    </row>
    <row r="207" ht="12.75">
      <c r="B207" s="56"/>
    </row>
    <row r="208" ht="12.75">
      <c r="B208" s="56"/>
    </row>
    <row r="209" ht="12.75">
      <c r="B209" s="56"/>
    </row>
    <row r="210" ht="12.75">
      <c r="B210" s="56"/>
    </row>
    <row r="211" ht="12.75">
      <c r="B211" s="56"/>
    </row>
    <row r="212" ht="12.75">
      <c r="B212" s="56"/>
    </row>
    <row r="213" ht="12.75">
      <c r="B213" s="56"/>
    </row>
    <row r="214" ht="12.75">
      <c r="B214" s="56"/>
    </row>
    <row r="215" ht="12.75">
      <c r="B215" s="56"/>
    </row>
    <row r="216" ht="12.75">
      <c r="B216" s="56"/>
    </row>
    <row r="217" ht="12.75">
      <c r="B217" s="56"/>
    </row>
    <row r="218" ht="12.75">
      <c r="B218" s="56"/>
    </row>
    <row r="219" ht="12.75">
      <c r="B219" s="56"/>
    </row>
    <row r="220" ht="12.75">
      <c r="B220" s="56"/>
    </row>
    <row r="221" ht="12.75">
      <c r="B221" s="56"/>
    </row>
    <row r="222" ht="12.75">
      <c r="B222" s="56"/>
    </row>
    <row r="223" ht="12.75">
      <c r="B223" s="56"/>
    </row>
    <row r="224" ht="12.75">
      <c r="B224" s="56"/>
    </row>
    <row r="225" ht="12.75">
      <c r="B225" s="56"/>
    </row>
    <row r="226" ht="12.75">
      <c r="B226" s="56"/>
    </row>
    <row r="227" ht="12.75">
      <c r="B227" s="56"/>
    </row>
    <row r="228" ht="12.75">
      <c r="B228" s="56"/>
    </row>
    <row r="229" ht="12.75">
      <c r="B229" s="56"/>
    </row>
    <row r="230" ht="12.75">
      <c r="B230" s="56"/>
    </row>
    <row r="231" ht="12.75">
      <c r="B231" s="56"/>
    </row>
    <row r="232" ht="12.75">
      <c r="B232" s="56"/>
    </row>
    <row r="233" ht="12.75">
      <c r="B233" s="56"/>
    </row>
    <row r="234" ht="12.75">
      <c r="B234" s="56"/>
    </row>
    <row r="235" ht="12.75">
      <c r="B235" s="56"/>
    </row>
    <row r="236" ht="12.75">
      <c r="B236" s="56"/>
    </row>
    <row r="237" ht="12.75">
      <c r="B237" s="56"/>
    </row>
    <row r="238" ht="12.75">
      <c r="B238" s="56"/>
    </row>
    <row r="239" ht="12.75">
      <c r="B239" s="56"/>
    </row>
    <row r="240" ht="12.75">
      <c r="B240" s="56"/>
    </row>
    <row r="241" ht="12.75">
      <c r="B241" s="56"/>
    </row>
    <row r="242" ht="12.75">
      <c r="B242" s="56"/>
    </row>
    <row r="243" ht="12.75">
      <c r="B243" s="56"/>
    </row>
    <row r="244" ht="12.75">
      <c r="B244" s="56"/>
    </row>
    <row r="245" ht="12.75">
      <c r="B245" s="56"/>
    </row>
    <row r="246" ht="12.75">
      <c r="B246" s="56"/>
    </row>
    <row r="247" ht="12.75">
      <c r="B247" s="56"/>
    </row>
    <row r="248" ht="12.75">
      <c r="B248" s="56"/>
    </row>
    <row r="249" ht="12.75">
      <c r="B249" s="56"/>
    </row>
    <row r="250" ht="12.75">
      <c r="B250" s="56"/>
    </row>
    <row r="251" ht="12.75">
      <c r="B251" s="56"/>
    </row>
    <row r="252" ht="12.75">
      <c r="B252" s="56"/>
    </row>
    <row r="253" ht="12.75">
      <c r="B253" s="56"/>
    </row>
    <row r="254" ht="12.75">
      <c r="B254" s="56"/>
    </row>
    <row r="255" ht="12.75">
      <c r="B255" s="56"/>
    </row>
    <row r="256" ht="12.75">
      <c r="B256" s="56"/>
    </row>
    <row r="257" ht="12.75">
      <c r="B257" s="56"/>
    </row>
    <row r="258" ht="12.75">
      <c r="B258" s="56"/>
    </row>
    <row r="259" ht="12.75">
      <c r="B259" s="56"/>
    </row>
    <row r="260" ht="12.75">
      <c r="B260" s="56"/>
    </row>
    <row r="261" ht="12.75">
      <c r="B261" s="56"/>
    </row>
    <row r="262" ht="12.75">
      <c r="B262" s="56"/>
    </row>
    <row r="263" ht="12.75">
      <c r="B263" s="56"/>
    </row>
    <row r="264" ht="12.75">
      <c r="B264" s="56"/>
    </row>
    <row r="265" ht="12.75">
      <c r="B265" s="56"/>
    </row>
    <row r="266" ht="12.75">
      <c r="B266" s="56"/>
    </row>
    <row r="267" ht="12.75">
      <c r="B267" s="56"/>
    </row>
    <row r="268" ht="12.75">
      <c r="B268" s="56"/>
    </row>
    <row r="269" ht="12.75">
      <c r="B269" s="56"/>
    </row>
    <row r="270" ht="12.75">
      <c r="B270" s="56"/>
    </row>
    <row r="271" ht="12.75">
      <c r="B271" s="56"/>
    </row>
    <row r="272" ht="12.75">
      <c r="B272" s="56"/>
    </row>
    <row r="273" ht="12.75">
      <c r="B273" s="56"/>
    </row>
    <row r="274" ht="12.75">
      <c r="B274" s="56"/>
    </row>
    <row r="275" ht="12.75">
      <c r="B275" s="56"/>
    </row>
    <row r="276" ht="12.75">
      <c r="B276" s="56"/>
    </row>
    <row r="277" ht="12.75">
      <c r="B277" s="56"/>
    </row>
    <row r="278" ht="12.75">
      <c r="B278" s="56"/>
    </row>
    <row r="279" ht="12.75">
      <c r="B279" s="56"/>
    </row>
    <row r="280" ht="12.75">
      <c r="B280" s="56"/>
    </row>
    <row r="281" ht="12.75">
      <c r="B281" s="56"/>
    </row>
    <row r="282" ht="12.75">
      <c r="B282" s="56"/>
    </row>
    <row r="283" ht="12.75">
      <c r="B283" s="56"/>
    </row>
    <row r="284" ht="12.75">
      <c r="B284" s="56"/>
    </row>
    <row r="285" ht="12.75">
      <c r="B285" s="56"/>
    </row>
    <row r="286" ht="12.75">
      <c r="B286" s="56"/>
    </row>
    <row r="287" ht="12.75">
      <c r="B287" s="56"/>
    </row>
    <row r="288" ht="12.75">
      <c r="B288" s="56"/>
    </row>
    <row r="289" ht="12.75">
      <c r="B289" s="56"/>
    </row>
    <row r="290" ht="12.75">
      <c r="B290" s="56"/>
    </row>
    <row r="291" ht="12.75">
      <c r="B291" s="56"/>
    </row>
    <row r="292" ht="12.75">
      <c r="B292" s="56"/>
    </row>
    <row r="293" ht="12.75">
      <c r="B293" s="56"/>
    </row>
    <row r="294" ht="12.75">
      <c r="B294" s="56"/>
    </row>
    <row r="295" ht="12.75">
      <c r="B295" s="56"/>
    </row>
    <row r="296" ht="12.75">
      <c r="B296" s="56"/>
    </row>
    <row r="297" ht="12.75">
      <c r="B297" s="56"/>
    </row>
    <row r="298" ht="12.75">
      <c r="B298" s="56"/>
    </row>
    <row r="299" ht="12.75">
      <c r="B299" s="56"/>
    </row>
    <row r="300" ht="12.75">
      <c r="B300" s="56"/>
    </row>
    <row r="301" ht="12.75">
      <c r="B301" s="56"/>
    </row>
    <row r="302" ht="12.75">
      <c r="B302" s="56"/>
    </row>
    <row r="303" ht="12.75">
      <c r="B303" s="56"/>
    </row>
    <row r="304" ht="12.75">
      <c r="B304" s="56"/>
    </row>
    <row r="305" ht="12.75">
      <c r="B305" s="56"/>
    </row>
    <row r="306" ht="12.75">
      <c r="B306" s="56"/>
    </row>
    <row r="307" ht="12.75">
      <c r="B307" s="56"/>
    </row>
    <row r="308" ht="12.75">
      <c r="B308" s="56"/>
    </row>
    <row r="309" ht="12.75">
      <c r="B309" s="56"/>
    </row>
    <row r="310" ht="12.75">
      <c r="B310" s="56"/>
    </row>
    <row r="311" ht="12.75">
      <c r="B311" s="56"/>
    </row>
    <row r="312" ht="12.75">
      <c r="B312" s="56"/>
    </row>
    <row r="313" ht="12.75">
      <c r="B313" s="56"/>
    </row>
    <row r="314" ht="12.75">
      <c r="B314" s="56"/>
    </row>
    <row r="315" ht="12.75">
      <c r="B315" s="56"/>
    </row>
    <row r="316" ht="12.75">
      <c r="B316" s="56"/>
    </row>
    <row r="317" ht="12.75">
      <c r="B317" s="56"/>
    </row>
    <row r="318" ht="12.75">
      <c r="B318" s="56"/>
    </row>
    <row r="319" ht="12.75">
      <c r="B319" s="56"/>
    </row>
    <row r="320" ht="12.75">
      <c r="B320" s="56"/>
    </row>
    <row r="321" ht="12.75">
      <c r="B321" s="56"/>
    </row>
    <row r="322" ht="12.75">
      <c r="B322" s="56"/>
    </row>
    <row r="323" ht="12.75">
      <c r="B323" s="56"/>
    </row>
    <row r="324" ht="12.75">
      <c r="B324" s="56"/>
    </row>
    <row r="325" ht="12.75">
      <c r="B325" s="56"/>
    </row>
    <row r="326" ht="12.75">
      <c r="B326" s="56"/>
    </row>
    <row r="327" ht="12.75">
      <c r="B327" s="56"/>
    </row>
    <row r="328" ht="12.75">
      <c r="B328" s="56"/>
    </row>
    <row r="329" ht="12.75">
      <c r="B329" s="56"/>
    </row>
    <row r="330" ht="12.75">
      <c r="B330" s="56"/>
    </row>
    <row r="331" ht="12.75">
      <c r="B331" s="56"/>
    </row>
    <row r="332" ht="12.75">
      <c r="B332" s="56"/>
    </row>
    <row r="333" ht="12.75">
      <c r="B333" s="56"/>
    </row>
    <row r="334" ht="12.75">
      <c r="B334" s="56"/>
    </row>
    <row r="335" ht="12.75">
      <c r="B335" s="56"/>
    </row>
    <row r="336" ht="12.75">
      <c r="B336" s="56"/>
    </row>
    <row r="337" ht="12.75">
      <c r="B337" s="56"/>
    </row>
    <row r="338" ht="12.75">
      <c r="B338" s="56"/>
    </row>
    <row r="339" ht="12.75">
      <c r="B339" s="56"/>
    </row>
    <row r="340" ht="12.75">
      <c r="B340" s="56"/>
    </row>
    <row r="341" ht="12.75">
      <c r="B341" s="56"/>
    </row>
    <row r="342" ht="12.75">
      <c r="B342" s="56"/>
    </row>
    <row r="343" ht="12.75">
      <c r="B343" s="56"/>
    </row>
    <row r="344" ht="12.75">
      <c r="B344" s="56"/>
    </row>
    <row r="345" ht="12.75">
      <c r="B345" s="56"/>
    </row>
    <row r="346" ht="12.75">
      <c r="B346" s="56"/>
    </row>
    <row r="347" ht="12.75">
      <c r="B347" s="56"/>
    </row>
    <row r="348" ht="12.75">
      <c r="B348" s="56"/>
    </row>
    <row r="349" ht="12.75">
      <c r="B349" s="56"/>
    </row>
    <row r="350" ht="12.75">
      <c r="B350" s="56"/>
    </row>
    <row r="351" ht="12.75">
      <c r="B351" s="56"/>
    </row>
    <row r="352" ht="12.75">
      <c r="B352" s="56"/>
    </row>
    <row r="353" ht="12.75">
      <c r="B353" s="56"/>
    </row>
    <row r="354" ht="12.75">
      <c r="B354" s="56"/>
    </row>
    <row r="355" ht="12.75">
      <c r="B355" s="56"/>
    </row>
    <row r="356" ht="12.75">
      <c r="B356" s="56"/>
    </row>
    <row r="357" ht="12.75">
      <c r="B357" s="56"/>
    </row>
    <row r="358" ht="12.75">
      <c r="B358" s="56"/>
    </row>
    <row r="359" ht="12.75">
      <c r="B359" s="56"/>
    </row>
    <row r="360" ht="12.75">
      <c r="B360" s="56"/>
    </row>
    <row r="361" ht="12.75">
      <c r="B361" s="56"/>
    </row>
    <row r="362" ht="12.75">
      <c r="B362" s="56"/>
    </row>
    <row r="363" ht="12.75">
      <c r="B363" s="56"/>
    </row>
    <row r="364" ht="12.75">
      <c r="B364" s="56"/>
    </row>
    <row r="365" ht="12.75">
      <c r="B365" s="56"/>
    </row>
    <row r="366" ht="12.75">
      <c r="B366" s="56"/>
    </row>
    <row r="367" ht="12.75">
      <c r="B367" s="56"/>
    </row>
    <row r="368" ht="12.75">
      <c r="B368" s="56"/>
    </row>
    <row r="369" ht="12.75">
      <c r="B369" s="56"/>
    </row>
    <row r="370" ht="12.75">
      <c r="B370" s="56"/>
    </row>
    <row r="371" ht="12.75">
      <c r="B371" s="56"/>
    </row>
    <row r="372" ht="12.75">
      <c r="B372" s="56"/>
    </row>
    <row r="373" ht="12.75">
      <c r="B373" s="56"/>
    </row>
    <row r="374" ht="12.75">
      <c r="B374" s="56"/>
    </row>
    <row r="375" ht="12.75">
      <c r="B375" s="56"/>
    </row>
    <row r="376" ht="12.75">
      <c r="B376" s="56"/>
    </row>
    <row r="377" ht="12.75">
      <c r="B377" s="56"/>
    </row>
    <row r="378" ht="12.75">
      <c r="B378" s="56"/>
    </row>
    <row r="379" ht="12.75">
      <c r="B379" s="56"/>
    </row>
    <row r="380" ht="12.75">
      <c r="B380" s="56"/>
    </row>
    <row r="381" ht="12.75">
      <c r="B381" s="56"/>
    </row>
    <row r="382" ht="12.75">
      <c r="B382" s="56"/>
    </row>
    <row r="383" ht="12.75">
      <c r="B383" s="56"/>
    </row>
    <row r="384" ht="12.75">
      <c r="B384" s="56"/>
    </row>
    <row r="385" ht="12.75">
      <c r="B385" s="56"/>
    </row>
    <row r="386" ht="12.75">
      <c r="B386" s="56"/>
    </row>
    <row r="387" ht="12.75">
      <c r="B387" s="56"/>
    </row>
    <row r="388" ht="12.75">
      <c r="B388" s="56"/>
    </row>
    <row r="389" ht="12.75">
      <c r="B389" s="56"/>
    </row>
    <row r="390" ht="12.75">
      <c r="B390" s="56"/>
    </row>
    <row r="391" ht="12.75">
      <c r="B391" s="56"/>
    </row>
    <row r="392" ht="12.75">
      <c r="B392" s="56"/>
    </row>
    <row r="393" ht="12.75">
      <c r="B393" s="56"/>
    </row>
    <row r="394" ht="12.75">
      <c r="B394" s="56"/>
    </row>
    <row r="395" ht="12.75">
      <c r="B395" s="56"/>
    </row>
    <row r="396" ht="12.75">
      <c r="B396" s="56"/>
    </row>
    <row r="397" ht="12.75">
      <c r="B397" s="56"/>
    </row>
    <row r="398" ht="12.75">
      <c r="B398" s="56"/>
    </row>
    <row r="399" ht="12.75">
      <c r="B399" s="56"/>
    </row>
    <row r="400" ht="12.75">
      <c r="B400" s="56"/>
    </row>
    <row r="401" ht="12.75">
      <c r="B401" s="56"/>
    </row>
    <row r="402" ht="12.75">
      <c r="B402" s="56"/>
    </row>
    <row r="403" ht="12.75">
      <c r="B403" s="56"/>
    </row>
    <row r="404" ht="12.75">
      <c r="B404" s="56"/>
    </row>
    <row r="405" ht="12.75">
      <c r="B405" s="56"/>
    </row>
    <row r="406" ht="12.75">
      <c r="B406" s="56"/>
    </row>
    <row r="407" ht="12.75">
      <c r="B407" s="56"/>
    </row>
    <row r="408" ht="12.75">
      <c r="B408" s="56"/>
    </row>
    <row r="409" ht="12.75">
      <c r="B409" s="56"/>
    </row>
    <row r="410" ht="12.75">
      <c r="B410" s="56"/>
    </row>
    <row r="411" ht="12.75">
      <c r="B411" s="56"/>
    </row>
    <row r="412" ht="12.75">
      <c r="B412" s="56"/>
    </row>
    <row r="413" ht="12.75">
      <c r="B413" s="56"/>
    </row>
    <row r="414" ht="12.75">
      <c r="B414" s="56"/>
    </row>
    <row r="415" ht="12.75">
      <c r="B415" s="56"/>
    </row>
    <row r="416" ht="12.75">
      <c r="B416" s="56"/>
    </row>
    <row r="417" ht="12.75">
      <c r="B417" s="56"/>
    </row>
    <row r="418" ht="12.75">
      <c r="B418" s="56"/>
    </row>
    <row r="419" ht="12.75">
      <c r="B419" s="56"/>
    </row>
    <row r="420" ht="12.75">
      <c r="B420" s="56"/>
    </row>
    <row r="421" ht="12.75">
      <c r="B421" s="56"/>
    </row>
    <row r="422" ht="12.75">
      <c r="B422" s="56"/>
    </row>
    <row r="423" ht="12.75">
      <c r="B423" s="56"/>
    </row>
    <row r="424" ht="12.75">
      <c r="B424" s="56"/>
    </row>
    <row r="425" ht="12.75">
      <c r="B425" s="56"/>
    </row>
    <row r="426" ht="12.75">
      <c r="B426" s="56"/>
    </row>
    <row r="427" ht="12.75">
      <c r="B427" s="56"/>
    </row>
    <row r="428" ht="12.75">
      <c r="B428" s="56"/>
    </row>
    <row r="429" ht="12.75">
      <c r="B429" s="56"/>
    </row>
    <row r="430" ht="12.75">
      <c r="B430" s="56"/>
    </row>
    <row r="431" ht="12.75">
      <c r="B431" s="56"/>
    </row>
    <row r="432" ht="12.75">
      <c r="B432" s="56"/>
    </row>
    <row r="433" ht="12.75">
      <c r="B433" s="56"/>
    </row>
    <row r="434" ht="12.75">
      <c r="B434" s="56"/>
    </row>
    <row r="435" ht="12.75">
      <c r="B435" s="56"/>
    </row>
    <row r="436" ht="12.75">
      <c r="B436" s="56"/>
    </row>
    <row r="437" ht="12.75">
      <c r="B437" s="56"/>
    </row>
    <row r="438" ht="12.75">
      <c r="B438" s="56"/>
    </row>
    <row r="439" ht="12.75">
      <c r="B439" s="56"/>
    </row>
    <row r="440" ht="12.75">
      <c r="B440" s="56"/>
    </row>
    <row r="441" ht="12.75">
      <c r="B441" s="56"/>
    </row>
    <row r="442" ht="12.75">
      <c r="B442" s="56"/>
    </row>
    <row r="443" ht="12.75">
      <c r="B443" s="56"/>
    </row>
    <row r="444" ht="12.75">
      <c r="B444" s="56"/>
    </row>
    <row r="445" ht="12.75">
      <c r="B445" s="56"/>
    </row>
    <row r="446" ht="12.75">
      <c r="B446" s="56"/>
    </row>
    <row r="447" ht="12.75">
      <c r="B447" s="56"/>
    </row>
    <row r="448" ht="12.75">
      <c r="B448" s="56"/>
    </row>
    <row r="449" ht="12.75">
      <c r="B449" s="56"/>
    </row>
    <row r="450" ht="12.75">
      <c r="B450" s="56"/>
    </row>
    <row r="451" ht="12.75">
      <c r="B451" s="56"/>
    </row>
    <row r="452" ht="12.75">
      <c r="B452" s="56"/>
    </row>
    <row r="453" ht="12.75">
      <c r="B453" s="56"/>
    </row>
    <row r="454" ht="12.75">
      <c r="B454" s="56"/>
    </row>
    <row r="455" ht="12.75">
      <c r="B455" s="56"/>
    </row>
    <row r="456" ht="12.75">
      <c r="B456" s="56"/>
    </row>
    <row r="457" ht="12.75">
      <c r="B457" s="56"/>
    </row>
    <row r="458" ht="12.75">
      <c r="B458" s="56"/>
    </row>
    <row r="459" ht="12.75">
      <c r="B459" s="56"/>
    </row>
    <row r="460" ht="12.75">
      <c r="B460" s="56"/>
    </row>
    <row r="461" ht="12.75">
      <c r="B461" s="56"/>
    </row>
    <row r="462" ht="12.75">
      <c r="B462" s="56"/>
    </row>
    <row r="463" ht="12.75">
      <c r="B463" s="56"/>
    </row>
    <row r="464" ht="12.75">
      <c r="B464" s="56"/>
    </row>
    <row r="465" ht="12.75">
      <c r="B465" s="56"/>
    </row>
    <row r="466" ht="12.75">
      <c r="B466" s="56"/>
    </row>
    <row r="467" ht="12.75">
      <c r="B467" s="56"/>
    </row>
    <row r="468" ht="12.75">
      <c r="B468" s="56"/>
    </row>
    <row r="469" ht="12.75">
      <c r="B469" s="56"/>
    </row>
    <row r="470" ht="12.75">
      <c r="B470" s="56"/>
    </row>
    <row r="471" ht="12.75">
      <c r="B471" s="56"/>
    </row>
    <row r="472" ht="12.75">
      <c r="B472" s="56"/>
    </row>
    <row r="473" ht="12.75">
      <c r="B473" s="56"/>
    </row>
    <row r="474" ht="12.75">
      <c r="B474" s="56"/>
    </row>
    <row r="475" ht="12.75">
      <c r="B475" s="56"/>
    </row>
    <row r="476" ht="12.75">
      <c r="B476" s="56"/>
    </row>
    <row r="477" ht="12.75">
      <c r="B477" s="56"/>
    </row>
    <row r="478" ht="12.75">
      <c r="B478" s="56"/>
    </row>
    <row r="479" ht="12.75">
      <c r="B479" s="56"/>
    </row>
    <row r="480" ht="12.75">
      <c r="B480" s="56"/>
    </row>
    <row r="481" ht="12.75">
      <c r="B481" s="56"/>
    </row>
    <row r="482" ht="12.75">
      <c r="B482" s="56"/>
    </row>
    <row r="483" ht="12.75">
      <c r="B483" s="56"/>
    </row>
    <row r="484" ht="12.75">
      <c r="B484" s="56"/>
    </row>
    <row r="485" ht="12.75">
      <c r="B485" s="56"/>
    </row>
    <row r="486" ht="12.75">
      <c r="B486" s="56"/>
    </row>
    <row r="487" ht="12.75">
      <c r="B487" s="56"/>
    </row>
    <row r="488" ht="12.75">
      <c r="B488" s="56"/>
    </row>
    <row r="489" ht="12.75">
      <c r="B489" s="56"/>
    </row>
    <row r="490" ht="12.75">
      <c r="B490" s="56"/>
    </row>
    <row r="491" ht="12.75">
      <c r="B491" s="56"/>
    </row>
    <row r="492" ht="12.75">
      <c r="B492" s="56"/>
    </row>
    <row r="493" ht="12.75">
      <c r="B493" s="56"/>
    </row>
    <row r="494" ht="12.75">
      <c r="B494" s="56"/>
    </row>
    <row r="495" ht="12.75">
      <c r="B495" s="56"/>
    </row>
    <row r="496" ht="12.75">
      <c r="B496" s="56"/>
    </row>
    <row r="497" ht="12.75">
      <c r="B497" s="56"/>
    </row>
    <row r="498" ht="12.75">
      <c r="B498" s="56"/>
    </row>
    <row r="499" ht="12.75">
      <c r="B499" s="56"/>
    </row>
    <row r="500" ht="12.75">
      <c r="B500" s="56"/>
    </row>
    <row r="501" ht="12.75">
      <c r="B501" s="56"/>
    </row>
    <row r="502" ht="12.75">
      <c r="B502" s="56"/>
    </row>
    <row r="503" ht="12.75">
      <c r="B503" s="56"/>
    </row>
    <row r="504" ht="12.75">
      <c r="B504" s="56"/>
    </row>
    <row r="505" ht="12.75">
      <c r="B505" s="56"/>
    </row>
    <row r="506" ht="12.75">
      <c r="B506" s="56"/>
    </row>
    <row r="507" ht="12.75">
      <c r="B507" s="56"/>
    </row>
    <row r="508" ht="12.75">
      <c r="B508" s="56"/>
    </row>
    <row r="509" ht="12.75">
      <c r="B509" s="56"/>
    </row>
    <row r="510" ht="12.75">
      <c r="B510" s="56"/>
    </row>
    <row r="511" ht="12.75">
      <c r="B511" s="56"/>
    </row>
    <row r="512" ht="12.75">
      <c r="B512" s="56"/>
    </row>
    <row r="513" ht="12.75">
      <c r="B513" s="56"/>
    </row>
    <row r="514" ht="12.75">
      <c r="B514" s="56"/>
    </row>
    <row r="515" ht="12.75">
      <c r="B515" s="56"/>
    </row>
    <row r="516" ht="12.75">
      <c r="B516" s="56"/>
    </row>
    <row r="517" ht="12.75">
      <c r="B517" s="56"/>
    </row>
    <row r="518" ht="12.75">
      <c r="B518" s="56"/>
    </row>
    <row r="519" ht="12.75">
      <c r="B519" s="56"/>
    </row>
    <row r="520" ht="12.75">
      <c r="B520" s="56"/>
    </row>
    <row r="521" ht="12.75">
      <c r="B521" s="56"/>
    </row>
    <row r="522" ht="12.75">
      <c r="B522" s="56"/>
    </row>
    <row r="523" ht="12.75">
      <c r="B523" s="56"/>
    </row>
    <row r="524" ht="12.75">
      <c r="B524" s="56"/>
    </row>
    <row r="525" ht="12.75">
      <c r="B525" s="56"/>
    </row>
    <row r="526" ht="12.75">
      <c r="B526" s="56"/>
    </row>
    <row r="527" ht="12.75">
      <c r="B527" s="56"/>
    </row>
    <row r="528" ht="12.75">
      <c r="B528" s="56"/>
    </row>
    <row r="529" ht="12.75">
      <c r="B529" s="56"/>
    </row>
    <row r="530" ht="12.75">
      <c r="B530" s="56"/>
    </row>
    <row r="531" ht="12.75">
      <c r="B531" s="56"/>
    </row>
    <row r="532" ht="12.75">
      <c r="B532" s="56"/>
    </row>
    <row r="533" ht="12.75">
      <c r="B533" s="56"/>
    </row>
    <row r="534" ht="12.75">
      <c r="B534" s="56"/>
    </row>
    <row r="535" ht="12.75">
      <c r="B535" s="56"/>
    </row>
    <row r="536" ht="12.75">
      <c r="B536" s="56"/>
    </row>
    <row r="537" ht="12.75">
      <c r="B537" s="56"/>
    </row>
    <row r="538" ht="12.75">
      <c r="B538" s="56"/>
    </row>
    <row r="539" ht="12.75">
      <c r="B539" s="56"/>
    </row>
    <row r="540" ht="12.75">
      <c r="B540" s="56"/>
    </row>
    <row r="541" ht="12.75">
      <c r="B541" s="56"/>
    </row>
    <row r="542" ht="12.75">
      <c r="B542" s="56"/>
    </row>
    <row r="543" ht="12.75">
      <c r="B543" s="56"/>
    </row>
  </sheetData>
  <sheetProtection/>
  <mergeCells count="5">
    <mergeCell ref="A2:B2"/>
    <mergeCell ref="A3:B3"/>
    <mergeCell ref="A1:B1"/>
    <mergeCell ref="A6:B6"/>
    <mergeCell ref="A5:B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rgb="FF00B050"/>
  </sheetPr>
  <dimension ref="A1:N25"/>
  <sheetViews>
    <sheetView view="pageBreakPreview" zoomScale="110" zoomScaleSheetLayoutView="110" zoomScalePageLayoutView="0" workbookViewId="0" topLeftCell="A1">
      <selection activeCell="E13" sqref="E13"/>
    </sheetView>
  </sheetViews>
  <sheetFormatPr defaultColWidth="9.140625" defaultRowHeight="15"/>
  <cols>
    <col min="1" max="1" width="5.140625" style="17" customWidth="1"/>
    <col min="2" max="2" width="20.8515625" style="17" customWidth="1"/>
    <col min="3" max="3" width="20.140625" style="17" customWidth="1"/>
    <col min="4" max="4" width="26.00390625" style="17" customWidth="1"/>
    <col min="5" max="5" width="28.8515625" style="17" customWidth="1"/>
    <col min="6" max="6" width="27.28125" style="17" customWidth="1"/>
    <col min="7" max="8" width="24.140625" style="17" customWidth="1"/>
    <col min="9" max="16384" width="9.140625" style="17" customWidth="1"/>
  </cols>
  <sheetData>
    <row r="1" spans="1:14" s="7" customFormat="1" ht="42" customHeight="1">
      <c r="A1" s="236" t="s">
        <v>109</v>
      </c>
      <c r="B1" s="236"/>
      <c r="C1" s="236"/>
      <c r="D1" s="236"/>
      <c r="E1" s="236"/>
      <c r="F1" s="236"/>
      <c r="G1" s="236"/>
      <c r="H1" s="236"/>
      <c r="I1" s="80"/>
      <c r="J1" s="80"/>
      <c r="K1" s="80"/>
      <c r="L1" s="80"/>
      <c r="M1" s="80"/>
      <c r="N1" s="80"/>
    </row>
    <row r="2" spans="1:8" ht="91.5" customHeight="1" thickBot="1">
      <c r="A2" s="190" t="s">
        <v>50</v>
      </c>
      <c r="B2" s="190"/>
      <c r="C2" s="190"/>
      <c r="D2" s="190"/>
      <c r="E2" s="190"/>
      <c r="F2" s="190"/>
      <c r="G2" s="190"/>
      <c r="H2" s="190"/>
    </row>
    <row r="3" spans="1:8" ht="36" customHeight="1">
      <c r="A3" s="238" t="s">
        <v>24</v>
      </c>
      <c r="B3" s="231" t="s">
        <v>51</v>
      </c>
      <c r="C3" s="231" t="s">
        <v>52</v>
      </c>
      <c r="D3" s="234" t="s">
        <v>121</v>
      </c>
      <c r="E3" s="231" t="s">
        <v>53</v>
      </c>
      <c r="F3" s="231" t="s">
        <v>120</v>
      </c>
      <c r="G3" s="231" t="s">
        <v>54</v>
      </c>
      <c r="H3" s="233"/>
    </row>
    <row r="4" spans="1:8" s="21" customFormat="1" ht="36" customHeight="1">
      <c r="A4" s="239"/>
      <c r="B4" s="232"/>
      <c r="C4" s="232"/>
      <c r="D4" s="235"/>
      <c r="E4" s="232"/>
      <c r="F4" s="232"/>
      <c r="G4" s="87" t="s">
        <v>122</v>
      </c>
      <c r="H4" s="88" t="s">
        <v>123</v>
      </c>
    </row>
    <row r="5" spans="1:8" ht="15">
      <c r="A5" s="22"/>
      <c r="B5" s="23"/>
      <c r="C5" s="23"/>
      <c r="D5" s="23"/>
      <c r="E5" s="23"/>
      <c r="F5" s="24"/>
      <c r="G5" s="24"/>
      <c r="H5" s="25"/>
    </row>
    <row r="6" spans="1:8" ht="15">
      <c r="A6" s="22"/>
      <c r="B6" s="23"/>
      <c r="C6" s="23"/>
      <c r="D6" s="23"/>
      <c r="E6" s="23"/>
      <c r="F6" s="24"/>
      <c r="G6" s="24"/>
      <c r="H6" s="25"/>
    </row>
    <row r="7" spans="1:8" ht="15">
      <c r="A7" s="22"/>
      <c r="B7" s="23"/>
      <c r="C7" s="23"/>
      <c r="D7" s="23"/>
      <c r="E7" s="23"/>
      <c r="F7" s="24"/>
      <c r="G7" s="24"/>
      <c r="H7" s="25"/>
    </row>
    <row r="8" spans="1:8" ht="15">
      <c r="A8" s="22"/>
      <c r="B8" s="23"/>
      <c r="C8" s="23"/>
      <c r="D8" s="23"/>
      <c r="E8" s="23"/>
      <c r="F8" s="24"/>
      <c r="G8" s="24"/>
      <c r="H8" s="25"/>
    </row>
    <row r="9" spans="1:8" ht="15">
      <c r="A9" s="22"/>
      <c r="B9" s="23"/>
      <c r="C9" s="23"/>
      <c r="D9" s="23"/>
      <c r="E9" s="23"/>
      <c r="F9" s="24"/>
      <c r="G9" s="24"/>
      <c r="H9" s="25"/>
    </row>
    <row r="10" spans="1:8" ht="15">
      <c r="A10" s="22"/>
      <c r="B10" s="23"/>
      <c r="C10" s="23"/>
      <c r="D10" s="23"/>
      <c r="E10" s="23"/>
      <c r="F10" s="24"/>
      <c r="G10" s="24"/>
      <c r="H10" s="25"/>
    </row>
    <row r="11" spans="1:8" ht="15">
      <c r="A11" s="22"/>
      <c r="B11" s="23"/>
      <c r="C11" s="23"/>
      <c r="D11" s="23"/>
      <c r="E11" s="23"/>
      <c r="F11" s="24"/>
      <c r="G11" s="24"/>
      <c r="H11" s="25"/>
    </row>
    <row r="12" spans="1:8" ht="15">
      <c r="A12" s="22"/>
      <c r="B12" s="23"/>
      <c r="C12" s="23"/>
      <c r="D12" s="23"/>
      <c r="E12" s="23"/>
      <c r="F12" s="24"/>
      <c r="G12" s="24"/>
      <c r="H12" s="25"/>
    </row>
    <row r="13" spans="1:8" ht="15">
      <c r="A13" s="22"/>
      <c r="B13" s="23"/>
      <c r="C13" s="23"/>
      <c r="D13" s="23"/>
      <c r="E13" s="23"/>
      <c r="F13" s="24"/>
      <c r="G13" s="24"/>
      <c r="H13" s="25"/>
    </row>
    <row r="14" spans="1:8" ht="15">
      <c r="A14" s="22"/>
      <c r="B14" s="23"/>
      <c r="C14" s="23"/>
      <c r="D14" s="23"/>
      <c r="E14" s="23"/>
      <c r="F14" s="24"/>
      <c r="G14" s="24"/>
      <c r="H14" s="25"/>
    </row>
    <row r="15" spans="1:8" ht="15">
      <c r="A15" s="22"/>
      <c r="B15" s="23"/>
      <c r="C15" s="23"/>
      <c r="D15" s="23"/>
      <c r="E15" s="23"/>
      <c r="F15" s="24"/>
      <c r="G15" s="24"/>
      <c r="H15" s="25"/>
    </row>
    <row r="16" spans="1:8" ht="15">
      <c r="A16" s="22"/>
      <c r="B16" s="23"/>
      <c r="C16" s="23"/>
      <c r="D16" s="23"/>
      <c r="E16" s="23"/>
      <c r="F16" s="24"/>
      <c r="G16" s="24"/>
      <c r="H16" s="25"/>
    </row>
    <row r="17" spans="1:8" ht="15">
      <c r="A17" s="22"/>
      <c r="B17" s="23"/>
      <c r="C17" s="23"/>
      <c r="D17" s="23"/>
      <c r="E17" s="23"/>
      <c r="F17" s="24"/>
      <c r="G17" s="24"/>
      <c r="H17" s="25"/>
    </row>
    <row r="18" spans="1:8" ht="15">
      <c r="A18" s="22"/>
      <c r="B18" s="23"/>
      <c r="C18" s="23"/>
      <c r="D18" s="23"/>
      <c r="E18" s="23"/>
      <c r="F18" s="24"/>
      <c r="G18" s="24"/>
      <c r="H18" s="25"/>
    </row>
    <row r="19" spans="1:8" ht="15">
      <c r="A19" s="22"/>
      <c r="B19" s="23"/>
      <c r="C19" s="23"/>
      <c r="D19" s="23"/>
      <c r="E19" s="23"/>
      <c r="F19" s="24"/>
      <c r="G19" s="24"/>
      <c r="H19" s="25"/>
    </row>
    <row r="20" spans="1:8" ht="15">
      <c r="A20" s="22"/>
      <c r="B20" s="23"/>
      <c r="C20" s="23"/>
      <c r="D20" s="23"/>
      <c r="E20" s="23"/>
      <c r="F20" s="24"/>
      <c r="G20" s="24"/>
      <c r="H20" s="25"/>
    </row>
    <row r="21" spans="1:8" ht="15">
      <c r="A21" s="22"/>
      <c r="B21" s="23"/>
      <c r="C21" s="23"/>
      <c r="D21" s="23"/>
      <c r="E21" s="23"/>
      <c r="F21" s="24"/>
      <c r="G21" s="24"/>
      <c r="H21" s="25"/>
    </row>
    <row r="22" spans="1:8" ht="15">
      <c r="A22" s="22"/>
      <c r="B22" s="23"/>
      <c r="C22" s="23"/>
      <c r="D22" s="23"/>
      <c r="E22" s="23"/>
      <c r="F22" s="24"/>
      <c r="G22" s="24"/>
      <c r="H22" s="25"/>
    </row>
    <row r="23" spans="1:8" ht="15">
      <c r="A23" s="22"/>
      <c r="B23" s="23"/>
      <c r="C23" s="23"/>
      <c r="D23" s="23"/>
      <c r="E23" s="23"/>
      <c r="F23" s="24"/>
      <c r="G23" s="24"/>
      <c r="H23" s="25"/>
    </row>
    <row r="24" spans="1:8" ht="15">
      <c r="A24" s="22"/>
      <c r="B24" s="23"/>
      <c r="C24" s="23"/>
      <c r="D24" s="23"/>
      <c r="E24" s="23"/>
      <c r="F24" s="24"/>
      <c r="G24" s="24"/>
      <c r="H24" s="25"/>
    </row>
    <row r="25" spans="1:8" ht="67.5" customHeight="1">
      <c r="A25" s="237" t="s">
        <v>114</v>
      </c>
      <c r="B25" s="237"/>
      <c r="C25" s="237"/>
      <c r="D25" s="237"/>
      <c r="E25" s="237"/>
      <c r="F25" s="237"/>
      <c r="G25" s="237"/>
      <c r="H25" s="237"/>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sheetPr>
    <tabColor rgb="FF00B050"/>
  </sheetPr>
  <dimension ref="A1:L26"/>
  <sheetViews>
    <sheetView view="pageBreakPreview" zoomScale="110" zoomScaleSheetLayoutView="110" zoomScalePageLayoutView="0" workbookViewId="0" topLeftCell="B1">
      <selection activeCell="E12" sqref="E12"/>
    </sheetView>
  </sheetViews>
  <sheetFormatPr defaultColWidth="9.140625" defaultRowHeight="15"/>
  <cols>
    <col min="1" max="1" width="5.140625" style="17" customWidth="1"/>
    <col min="2" max="2" width="27.28125" style="17" customWidth="1"/>
    <col min="3" max="3" width="20.57421875" style="17" bestFit="1" customWidth="1"/>
    <col min="4" max="4" width="27.140625" style="17" bestFit="1" customWidth="1"/>
    <col min="5" max="5" width="23.7109375" style="17" bestFit="1" customWidth="1"/>
    <col min="6" max="6" width="27.28125" style="17" customWidth="1"/>
    <col min="7" max="16384" width="9.140625" style="17" customWidth="1"/>
  </cols>
  <sheetData>
    <row r="1" spans="1:12" s="7" customFormat="1" ht="26.25" customHeight="1">
      <c r="A1" s="191" t="s">
        <v>110</v>
      </c>
      <c r="B1" s="191"/>
      <c r="C1" s="191"/>
      <c r="D1" s="191"/>
      <c r="E1" s="191"/>
      <c r="F1" s="191"/>
      <c r="G1" s="80"/>
      <c r="H1" s="80"/>
      <c r="I1" s="80"/>
      <c r="J1" s="80"/>
      <c r="K1" s="80"/>
      <c r="L1" s="80"/>
    </row>
    <row r="2" spans="1:6" ht="89.25" customHeight="1">
      <c r="A2" s="190" t="s">
        <v>23</v>
      </c>
      <c r="B2" s="190"/>
      <c r="C2" s="190"/>
      <c r="D2" s="190"/>
      <c r="E2" s="190"/>
      <c r="F2" s="190"/>
    </row>
    <row r="3" spans="1:6" ht="15.75" thickBot="1">
      <c r="A3" s="240" t="s">
        <v>18</v>
      </c>
      <c r="B3" s="240"/>
      <c r="C3" s="240"/>
      <c r="D3" s="240"/>
      <c r="E3" s="240"/>
      <c r="F3" s="240"/>
    </row>
    <row r="4" spans="1:6" s="21" customFormat="1" ht="30">
      <c r="A4" s="18" t="s">
        <v>24</v>
      </c>
      <c r="B4" s="19" t="s">
        <v>25</v>
      </c>
      <c r="C4" s="19" t="s">
        <v>26</v>
      </c>
      <c r="D4" s="19" t="s">
        <v>27</v>
      </c>
      <c r="E4" s="19" t="s">
        <v>28</v>
      </c>
      <c r="F4" s="20" t="s">
        <v>29</v>
      </c>
    </row>
    <row r="5" spans="1:6" ht="15">
      <c r="A5" s="22"/>
      <c r="B5" s="23"/>
      <c r="C5" s="23"/>
      <c r="D5" s="23"/>
      <c r="E5" s="24"/>
      <c r="F5" s="25"/>
    </row>
    <row r="6" spans="1:6" ht="15">
      <c r="A6" s="22"/>
      <c r="B6" s="23"/>
      <c r="C6" s="23"/>
      <c r="D6" s="23"/>
      <c r="E6" s="24"/>
      <c r="F6" s="25"/>
    </row>
    <row r="7" spans="1:6" ht="15">
      <c r="A7" s="22"/>
      <c r="B7" s="23"/>
      <c r="C7" s="23"/>
      <c r="D7" s="23"/>
      <c r="E7" s="24"/>
      <c r="F7" s="25"/>
    </row>
    <row r="8" spans="1:6" ht="15">
      <c r="A8" s="22"/>
      <c r="B8" s="23"/>
      <c r="C8" s="23"/>
      <c r="D8" s="23"/>
      <c r="E8" s="24"/>
      <c r="F8" s="25"/>
    </row>
    <row r="9" spans="1:6" ht="15">
      <c r="A9" s="22"/>
      <c r="B9" s="23"/>
      <c r="C9" s="23"/>
      <c r="D9" s="23"/>
      <c r="E9" s="24"/>
      <c r="F9" s="25"/>
    </row>
    <row r="10" spans="1:6" ht="15">
      <c r="A10" s="22"/>
      <c r="B10" s="23"/>
      <c r="C10" s="23"/>
      <c r="D10" s="23"/>
      <c r="E10" s="24"/>
      <c r="F10" s="25"/>
    </row>
    <row r="11" spans="1:6" ht="15">
      <c r="A11" s="22"/>
      <c r="B11" s="23"/>
      <c r="C11" s="23"/>
      <c r="D11" s="23"/>
      <c r="E11" s="24"/>
      <c r="F11" s="25"/>
    </row>
    <row r="12" spans="1:6" ht="15">
      <c r="A12" s="22"/>
      <c r="B12" s="23"/>
      <c r="C12" s="23"/>
      <c r="D12" s="23"/>
      <c r="E12" s="24"/>
      <c r="F12" s="25"/>
    </row>
    <row r="13" spans="1:6" ht="15">
      <c r="A13" s="22"/>
      <c r="B13" s="23"/>
      <c r="C13" s="23"/>
      <c r="D13" s="23"/>
      <c r="E13" s="24"/>
      <c r="F13" s="25"/>
    </row>
    <row r="14" spans="1:6" ht="15">
      <c r="A14" s="22"/>
      <c r="B14" s="23"/>
      <c r="C14" s="23"/>
      <c r="D14" s="23"/>
      <c r="E14" s="24"/>
      <c r="F14" s="25"/>
    </row>
    <row r="15" spans="1:6" ht="15">
      <c r="A15" s="22"/>
      <c r="B15" s="23"/>
      <c r="C15" s="23"/>
      <c r="D15" s="23"/>
      <c r="E15" s="24"/>
      <c r="F15" s="25"/>
    </row>
    <row r="16" spans="1:6" ht="15">
      <c r="A16" s="22"/>
      <c r="B16" s="23"/>
      <c r="C16" s="23"/>
      <c r="D16" s="23"/>
      <c r="E16" s="24"/>
      <c r="F16" s="25"/>
    </row>
    <row r="17" spans="1:6" ht="15">
      <c r="A17" s="22"/>
      <c r="B17" s="23"/>
      <c r="C17" s="23"/>
      <c r="D17" s="23"/>
      <c r="E17" s="24"/>
      <c r="F17" s="25"/>
    </row>
    <row r="18" spans="1:6" ht="15">
      <c r="A18" s="22"/>
      <c r="B18" s="23"/>
      <c r="C18" s="23"/>
      <c r="D18" s="23"/>
      <c r="E18" s="24"/>
      <c r="F18" s="25"/>
    </row>
    <row r="19" spans="1:6" ht="15">
      <c r="A19" s="22"/>
      <c r="B19" s="23"/>
      <c r="C19" s="23"/>
      <c r="D19" s="23"/>
      <c r="E19" s="24"/>
      <c r="F19" s="25"/>
    </row>
    <row r="20" spans="1:6" ht="15">
      <c r="A20" s="22"/>
      <c r="B20" s="23"/>
      <c r="C20" s="23"/>
      <c r="D20" s="23"/>
      <c r="E20" s="24"/>
      <c r="F20" s="25"/>
    </row>
    <row r="21" spans="1:6" ht="15">
      <c r="A21" s="22"/>
      <c r="B21" s="23"/>
      <c r="C21" s="23"/>
      <c r="D21" s="23"/>
      <c r="E21" s="24"/>
      <c r="F21" s="25"/>
    </row>
    <row r="22" spans="1:6" ht="15">
      <c r="A22" s="22"/>
      <c r="B22" s="23"/>
      <c r="C22" s="23"/>
      <c r="D22" s="23"/>
      <c r="E22" s="24"/>
      <c r="F22" s="25"/>
    </row>
    <row r="23" spans="1:6" ht="15">
      <c r="A23" s="22"/>
      <c r="B23" s="23"/>
      <c r="C23" s="23"/>
      <c r="D23" s="23"/>
      <c r="E23" s="24"/>
      <c r="F23" s="25"/>
    </row>
    <row r="24" spans="1:6" ht="15">
      <c r="A24" s="22"/>
      <c r="B24" s="23"/>
      <c r="C24" s="23"/>
      <c r="D24" s="23"/>
      <c r="E24" s="24"/>
      <c r="F24" s="25"/>
    </row>
    <row r="25" spans="1:6" s="28" customFormat="1" ht="15.75" thickBot="1">
      <c r="A25" s="26"/>
      <c r="B25" s="241" t="s">
        <v>30</v>
      </c>
      <c r="C25" s="242"/>
      <c r="D25" s="243"/>
      <c r="E25" s="27">
        <f>SUM(E5:E24)</f>
        <v>0</v>
      </c>
      <c r="F25" s="27">
        <f>SUM(F5:F24)</f>
        <v>0</v>
      </c>
    </row>
    <row r="26" spans="1:6" ht="49.5" customHeight="1">
      <c r="A26" s="192" t="s">
        <v>114</v>
      </c>
      <c r="B26" s="192"/>
      <c r="C26" s="192"/>
      <c r="D26" s="192"/>
      <c r="E26" s="192"/>
      <c r="F26" s="192"/>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sheetPr>
    <tabColor rgb="FF00B050"/>
  </sheetPr>
  <dimension ref="A1:L31"/>
  <sheetViews>
    <sheetView view="pageBreakPreview" zoomScale="110" zoomScaleSheetLayoutView="110" zoomScalePageLayoutView="0" workbookViewId="0" topLeftCell="A1">
      <selection activeCell="F22" sqref="F22"/>
    </sheetView>
  </sheetViews>
  <sheetFormatPr defaultColWidth="9.140625" defaultRowHeight="15"/>
  <cols>
    <col min="1" max="1" width="6.28125" style="29" customWidth="1"/>
    <col min="2" max="2" width="21.57421875" style="29" customWidth="1"/>
    <col min="3" max="3" width="15.140625" style="29" bestFit="1" customWidth="1"/>
    <col min="4" max="4" width="20.140625" style="45" customWidth="1"/>
    <col min="5" max="5" width="20.140625" style="46" customWidth="1"/>
    <col min="6" max="6" width="20.140625" style="45" customWidth="1"/>
    <col min="7" max="16384" width="9.140625" style="29" customWidth="1"/>
  </cols>
  <sheetData>
    <row r="1" spans="1:12" s="7" customFormat="1" ht="26.25" customHeight="1">
      <c r="A1" s="191" t="s">
        <v>111</v>
      </c>
      <c r="B1" s="191"/>
      <c r="C1" s="191"/>
      <c r="D1" s="191"/>
      <c r="E1" s="191"/>
      <c r="F1" s="191"/>
      <c r="G1" s="80"/>
      <c r="H1" s="80"/>
      <c r="I1" s="80"/>
      <c r="J1" s="80"/>
      <c r="K1" s="80"/>
      <c r="L1" s="80"/>
    </row>
    <row r="2" spans="1:6" ht="93.75" customHeight="1">
      <c r="A2" s="224" t="s">
        <v>35</v>
      </c>
      <c r="B2" s="224"/>
      <c r="C2" s="224"/>
      <c r="D2" s="224"/>
      <c r="E2" s="224"/>
      <c r="F2" s="224"/>
    </row>
    <row r="3" spans="2:6" ht="13.5" thickBot="1">
      <c r="B3" s="250" t="s">
        <v>129</v>
      </c>
      <c r="C3" s="250"/>
      <c r="D3" s="250"/>
      <c r="E3" s="250"/>
      <c r="F3" s="250"/>
    </row>
    <row r="4" spans="1:6" s="30" customFormat="1" ht="15.75" customHeight="1">
      <c r="A4" s="251" t="s">
        <v>24</v>
      </c>
      <c r="B4" s="212" t="s">
        <v>31</v>
      </c>
      <c r="C4" s="212" t="s">
        <v>32</v>
      </c>
      <c r="D4" s="212" t="s">
        <v>33</v>
      </c>
      <c r="E4" s="244" t="s">
        <v>128</v>
      </c>
      <c r="F4" s="213" t="s">
        <v>34</v>
      </c>
    </row>
    <row r="5" spans="1:6" s="30" customFormat="1" ht="22.5" customHeight="1">
      <c r="A5" s="252"/>
      <c r="B5" s="253"/>
      <c r="C5" s="253"/>
      <c r="D5" s="253"/>
      <c r="E5" s="245"/>
      <c r="F5" s="246"/>
    </row>
    <row r="6" spans="1:6" ht="18.75" customHeight="1">
      <c r="A6" s="31"/>
      <c r="B6" s="32"/>
      <c r="C6" s="33"/>
      <c r="D6" s="33"/>
      <c r="E6" s="34"/>
      <c r="F6" s="35"/>
    </row>
    <row r="7" spans="1:6" ht="12.75">
      <c r="A7" s="36"/>
      <c r="B7" s="37"/>
      <c r="C7" s="37"/>
      <c r="D7" s="38"/>
      <c r="E7" s="39"/>
      <c r="F7" s="40"/>
    </row>
    <row r="8" spans="1:6" ht="12.75">
      <c r="A8" s="36"/>
      <c r="B8" s="37"/>
      <c r="C8" s="37"/>
      <c r="D8" s="38"/>
      <c r="E8" s="39"/>
      <c r="F8" s="40"/>
    </row>
    <row r="9" spans="1:6" ht="12.75">
      <c r="A9" s="36"/>
      <c r="B9" s="37"/>
      <c r="C9" s="37"/>
      <c r="D9" s="38"/>
      <c r="E9" s="39"/>
      <c r="F9" s="40"/>
    </row>
    <row r="10" spans="1:6" ht="12.75">
      <c r="A10" s="36"/>
      <c r="B10" s="37"/>
      <c r="C10" s="37"/>
      <c r="D10" s="38"/>
      <c r="E10" s="39"/>
      <c r="F10" s="40"/>
    </row>
    <row r="11" spans="1:6" ht="12.75">
      <c r="A11" s="36"/>
      <c r="B11" s="37"/>
      <c r="C11" s="37"/>
      <c r="D11" s="38"/>
      <c r="E11" s="39"/>
      <c r="F11" s="40"/>
    </row>
    <row r="12" spans="1:6" ht="12.75">
      <c r="A12" s="36"/>
      <c r="B12" s="37"/>
      <c r="C12" s="37"/>
      <c r="D12" s="38"/>
      <c r="E12" s="39"/>
      <c r="F12" s="40"/>
    </row>
    <row r="13" spans="1:6" ht="12.75">
      <c r="A13" s="36"/>
      <c r="B13" s="37"/>
      <c r="C13" s="37"/>
      <c r="D13" s="38"/>
      <c r="E13" s="39"/>
      <c r="F13" s="40"/>
    </row>
    <row r="14" spans="1:6" ht="12.75">
      <c r="A14" s="36"/>
      <c r="B14" s="37"/>
      <c r="C14" s="37"/>
      <c r="D14" s="38"/>
      <c r="E14" s="39"/>
      <c r="F14" s="40"/>
    </row>
    <row r="15" spans="1:6" ht="12.75">
      <c r="A15" s="36"/>
      <c r="B15" s="37"/>
      <c r="C15" s="37"/>
      <c r="D15" s="38"/>
      <c r="E15" s="39"/>
      <c r="F15" s="40"/>
    </row>
    <row r="16" spans="1:6" ht="12.75">
      <c r="A16" s="36"/>
      <c r="B16" s="37"/>
      <c r="C16" s="37"/>
      <c r="D16" s="38"/>
      <c r="E16" s="39"/>
      <c r="F16" s="40"/>
    </row>
    <row r="17" spans="1:6" ht="12.75">
      <c r="A17" s="36"/>
      <c r="B17" s="37"/>
      <c r="C17" s="37"/>
      <c r="D17" s="38"/>
      <c r="E17" s="39"/>
      <c r="F17" s="40"/>
    </row>
    <row r="18" spans="1:6" ht="12.75">
      <c r="A18" s="36"/>
      <c r="B18" s="37"/>
      <c r="C18" s="37"/>
      <c r="D18" s="38"/>
      <c r="E18" s="39"/>
      <c r="F18" s="40"/>
    </row>
    <row r="19" spans="1:6" ht="12.75">
      <c r="A19" s="36"/>
      <c r="B19" s="37"/>
      <c r="C19" s="37"/>
      <c r="D19" s="38"/>
      <c r="E19" s="39"/>
      <c r="F19" s="40"/>
    </row>
    <row r="20" spans="1:6" ht="12.75">
      <c r="A20" s="36"/>
      <c r="B20" s="37"/>
      <c r="C20" s="37"/>
      <c r="D20" s="38"/>
      <c r="E20" s="39"/>
      <c r="F20" s="40"/>
    </row>
    <row r="21" spans="1:6" ht="12.75">
      <c r="A21" s="36"/>
      <c r="B21" s="37"/>
      <c r="C21" s="37"/>
      <c r="D21" s="38"/>
      <c r="E21" s="39"/>
      <c r="F21" s="40"/>
    </row>
    <row r="22" spans="1:6" ht="12.75">
      <c r="A22" s="36"/>
      <c r="B22" s="37"/>
      <c r="C22" s="37"/>
      <c r="D22" s="38"/>
      <c r="E22" s="39"/>
      <c r="F22" s="40"/>
    </row>
    <row r="23" spans="1:6" ht="12.75">
      <c r="A23" s="36"/>
      <c r="B23" s="37"/>
      <c r="C23" s="37"/>
      <c r="D23" s="38"/>
      <c r="E23" s="39"/>
      <c r="F23" s="40"/>
    </row>
    <row r="24" spans="1:6" ht="12.75">
      <c r="A24" s="36"/>
      <c r="B24" s="37"/>
      <c r="C24" s="37"/>
      <c r="D24" s="38"/>
      <c r="E24" s="39"/>
      <c r="F24" s="40"/>
    </row>
    <row r="25" spans="1:6" ht="12.75">
      <c r="A25" s="36"/>
      <c r="B25" s="37"/>
      <c r="C25" s="37"/>
      <c r="D25" s="38"/>
      <c r="E25" s="39"/>
      <c r="F25" s="40"/>
    </row>
    <row r="26" spans="1:6" ht="12.75">
      <c r="A26" s="36"/>
      <c r="B26" s="37"/>
      <c r="C26" s="37"/>
      <c r="D26" s="38"/>
      <c r="E26" s="39"/>
      <c r="F26" s="40"/>
    </row>
    <row r="27" spans="1:6" ht="12.75">
      <c r="A27" s="36"/>
      <c r="B27" s="37"/>
      <c r="C27" s="37"/>
      <c r="D27" s="38"/>
      <c r="E27" s="39"/>
      <c r="F27" s="40"/>
    </row>
    <row r="28" spans="1:6" ht="12.75">
      <c r="A28" s="36"/>
      <c r="B28" s="37"/>
      <c r="C28" s="37"/>
      <c r="D28" s="38"/>
      <c r="E28" s="39"/>
      <c r="F28" s="40"/>
    </row>
    <row r="29" spans="1:6" ht="12.75">
      <c r="A29" s="36"/>
      <c r="B29" s="37"/>
      <c r="C29" s="37"/>
      <c r="D29" s="38"/>
      <c r="E29" s="39"/>
      <c r="F29" s="40"/>
    </row>
    <row r="30" spans="1:6" s="44" customFormat="1" ht="15.75" customHeight="1" thickBot="1">
      <c r="A30" s="41"/>
      <c r="B30" s="249" t="s">
        <v>30</v>
      </c>
      <c r="C30" s="249"/>
      <c r="D30" s="249"/>
      <c r="E30" s="42">
        <f>SUM(E6:E29)</f>
        <v>0</v>
      </c>
      <c r="F30" s="43">
        <f>SUM(F6:F29)</f>
        <v>0</v>
      </c>
    </row>
    <row r="31" spans="1:6" ht="55.5" customHeight="1">
      <c r="A31" s="247" t="s">
        <v>130</v>
      </c>
      <c r="B31" s="248"/>
      <c r="C31" s="248"/>
      <c r="D31" s="248"/>
      <c r="E31" s="248"/>
      <c r="F31" s="248"/>
    </row>
  </sheetData>
  <sheetProtection/>
  <mergeCells count="11">
    <mergeCell ref="D4:D5"/>
    <mergeCell ref="E4:E5"/>
    <mergeCell ref="F4:F5"/>
    <mergeCell ref="A31:F31"/>
    <mergeCell ref="A1:F1"/>
    <mergeCell ref="B30:D30"/>
    <mergeCell ref="A2:F2"/>
    <mergeCell ref="B3:F3"/>
    <mergeCell ref="A4:A5"/>
    <mergeCell ref="B4:B5"/>
    <mergeCell ref="C4:C5"/>
  </mergeCells>
  <printOptions horizontalCentered="1"/>
  <pageMargins left="0.7" right="0.7" top="0.75" bottom="0.75"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K245"/>
  <sheetViews>
    <sheetView zoomScalePageLayoutView="0" workbookViewId="0" topLeftCell="A1">
      <selection activeCell="G13" sqref="G13"/>
    </sheetView>
  </sheetViews>
  <sheetFormatPr defaultColWidth="9.140625" defaultRowHeight="15"/>
  <cols>
    <col min="1" max="1" width="24.140625" style="0" customWidth="1"/>
    <col min="2" max="2" width="31.00390625" style="0" customWidth="1"/>
    <col min="3" max="3" width="34.421875" style="0" customWidth="1"/>
    <col min="4" max="7" width="13.7109375" style="0" customWidth="1"/>
    <col min="8" max="8" width="13.28125" style="0" customWidth="1"/>
    <col min="9" max="9" width="9.7109375" style="0" customWidth="1"/>
    <col min="10" max="10" width="21.140625" style="0" customWidth="1"/>
    <col min="11" max="11" width="17.00390625" style="0" customWidth="1"/>
  </cols>
  <sheetData>
    <row r="1" spans="1:11" ht="27.75" customHeight="1">
      <c r="A1" s="280" t="s">
        <v>212</v>
      </c>
      <c r="B1" s="281"/>
      <c r="C1" s="281"/>
      <c r="D1" s="281"/>
      <c r="E1" s="281"/>
      <c r="F1" s="281"/>
      <c r="G1" s="281"/>
      <c r="H1" s="281"/>
      <c r="I1" s="281"/>
      <c r="J1" s="281"/>
      <c r="K1" s="282"/>
    </row>
    <row r="2" spans="1:11" ht="27.75" customHeight="1">
      <c r="A2" s="283" t="s">
        <v>213</v>
      </c>
      <c r="B2" s="283"/>
      <c r="C2" s="283"/>
      <c r="D2" s="283"/>
      <c r="E2" s="283"/>
      <c r="F2" s="283"/>
      <c r="G2" s="283"/>
      <c r="H2" s="283"/>
      <c r="I2" s="283"/>
      <c r="J2" s="283"/>
      <c r="K2" s="283"/>
    </row>
    <row r="3" spans="1:11" ht="27.75" customHeight="1">
      <c r="A3" s="284" t="s">
        <v>214</v>
      </c>
      <c r="B3" s="284" t="s">
        <v>19</v>
      </c>
      <c r="C3" s="284" t="s">
        <v>175</v>
      </c>
      <c r="D3" s="284" t="s">
        <v>20</v>
      </c>
      <c r="E3" s="284"/>
      <c r="F3" s="284"/>
      <c r="G3" s="284" t="s">
        <v>215</v>
      </c>
      <c r="H3" s="284"/>
      <c r="I3" s="284"/>
      <c r="J3" s="284" t="s">
        <v>15</v>
      </c>
      <c r="K3" s="284" t="s">
        <v>16</v>
      </c>
    </row>
    <row r="4" spans="1:11" ht="27.75" customHeight="1">
      <c r="A4" s="284"/>
      <c r="B4" s="284"/>
      <c r="C4" s="284"/>
      <c r="D4" s="285" t="s">
        <v>216</v>
      </c>
      <c r="E4" s="285" t="s">
        <v>217</v>
      </c>
      <c r="F4" s="285" t="s">
        <v>218</v>
      </c>
      <c r="G4" s="285" t="s">
        <v>216</v>
      </c>
      <c r="H4" s="285" t="s">
        <v>217</v>
      </c>
      <c r="I4" s="285" t="s">
        <v>218</v>
      </c>
      <c r="J4" s="284"/>
      <c r="K4" s="284"/>
    </row>
    <row r="5" spans="1:11" ht="27.75" customHeight="1">
      <c r="A5" s="286" t="s">
        <v>219</v>
      </c>
      <c r="B5" s="286" t="s">
        <v>220</v>
      </c>
      <c r="C5" s="286" t="s">
        <v>221</v>
      </c>
      <c r="D5" s="287">
        <f>21782.9-8959.67+500+430.94</f>
        <v>13754.170000000002</v>
      </c>
      <c r="E5" s="288"/>
      <c r="F5" s="288"/>
      <c r="G5" s="289">
        <v>13754.17</v>
      </c>
      <c r="H5" s="290"/>
      <c r="I5" s="288"/>
      <c r="J5" s="288" t="s">
        <v>93</v>
      </c>
      <c r="K5" s="288"/>
    </row>
    <row r="6" spans="1:11" ht="27.75" customHeight="1">
      <c r="A6" s="291" t="s">
        <v>222</v>
      </c>
      <c r="B6" s="291" t="s">
        <v>223</v>
      </c>
      <c r="C6" s="286" t="s">
        <v>224</v>
      </c>
      <c r="D6" s="292">
        <f>100*1.1995</f>
        <v>119.95</v>
      </c>
      <c r="E6" s="288"/>
      <c r="F6" s="288"/>
      <c r="G6" s="289">
        <v>0</v>
      </c>
      <c r="H6" s="290"/>
      <c r="I6" s="288"/>
      <c r="J6" s="288" t="s">
        <v>93</v>
      </c>
      <c r="K6" s="288"/>
    </row>
    <row r="7" spans="1:11" ht="27.75" customHeight="1">
      <c r="A7" s="291" t="s">
        <v>225</v>
      </c>
      <c r="B7" s="291" t="s">
        <v>226</v>
      </c>
      <c r="C7" s="286" t="s">
        <v>227</v>
      </c>
      <c r="D7" s="292">
        <f>2*50*2.93</f>
        <v>293</v>
      </c>
      <c r="E7" s="288"/>
      <c r="F7" s="288"/>
      <c r="G7" s="289">
        <v>293</v>
      </c>
      <c r="H7" s="290"/>
      <c r="I7" s="288"/>
      <c r="J7" s="288" t="s">
        <v>93</v>
      </c>
      <c r="K7" s="288"/>
    </row>
    <row r="8" spans="1:11" ht="27.75" customHeight="1">
      <c r="A8" s="291" t="s">
        <v>228</v>
      </c>
      <c r="B8" s="291" t="s">
        <v>229</v>
      </c>
      <c r="C8" s="286" t="s">
        <v>227</v>
      </c>
      <c r="D8" s="292">
        <v>1492.5</v>
      </c>
      <c r="E8" s="288"/>
      <c r="F8" s="288"/>
      <c r="G8" s="289">
        <v>1492.5</v>
      </c>
      <c r="H8" s="290"/>
      <c r="I8" s="288"/>
      <c r="J8" s="288" t="s">
        <v>93</v>
      </c>
      <c r="K8" s="288"/>
    </row>
    <row r="9" spans="1:11" ht="27.75" customHeight="1">
      <c r="A9" s="291" t="s">
        <v>230</v>
      </c>
      <c r="B9" s="291" t="s">
        <v>231</v>
      </c>
      <c r="C9" s="286" t="s">
        <v>227</v>
      </c>
      <c r="D9" s="292">
        <v>110</v>
      </c>
      <c r="E9" s="288"/>
      <c r="F9" s="288"/>
      <c r="G9" s="289">
        <v>110</v>
      </c>
      <c r="H9" s="290"/>
      <c r="I9" s="288"/>
      <c r="J9" s="288" t="s">
        <v>93</v>
      </c>
      <c r="K9" s="288"/>
    </row>
    <row r="10" spans="1:11" ht="27.75" customHeight="1">
      <c r="A10" s="286" t="s">
        <v>232</v>
      </c>
      <c r="B10" s="293" t="s">
        <v>233</v>
      </c>
      <c r="C10" s="286" t="s">
        <v>234</v>
      </c>
      <c r="D10" s="294">
        <v>20356.64</v>
      </c>
      <c r="E10" s="288"/>
      <c r="F10" s="288"/>
      <c r="G10" s="289">
        <v>20356.640000000003</v>
      </c>
      <c r="H10" s="290"/>
      <c r="I10" s="288"/>
      <c r="J10" s="288" t="s">
        <v>93</v>
      </c>
      <c r="K10" s="288"/>
    </row>
    <row r="11" spans="1:11" ht="27.75" customHeight="1">
      <c r="A11" s="286" t="s">
        <v>235</v>
      </c>
      <c r="B11" s="293" t="s">
        <v>236</v>
      </c>
      <c r="C11" s="286" t="s">
        <v>237</v>
      </c>
      <c r="D11" s="292">
        <v>1800</v>
      </c>
      <c r="E11" s="288"/>
      <c r="F11" s="288"/>
      <c r="G11" s="289">
        <v>1800</v>
      </c>
      <c r="H11" s="290"/>
      <c r="I11" s="288"/>
      <c r="J11" s="288" t="s">
        <v>93</v>
      </c>
      <c r="K11" s="288"/>
    </row>
    <row r="12" spans="1:11" ht="27.75" customHeight="1">
      <c r="A12" s="286" t="s">
        <v>238</v>
      </c>
      <c r="B12" s="293" t="s">
        <v>239</v>
      </c>
      <c r="C12" s="286" t="s">
        <v>234</v>
      </c>
      <c r="D12" s="294">
        <v>13470</v>
      </c>
      <c r="E12" s="288"/>
      <c r="F12" s="288"/>
      <c r="G12" s="289">
        <v>13470</v>
      </c>
      <c r="H12" s="290"/>
      <c r="I12" s="288"/>
      <c r="J12" s="288" t="s">
        <v>93</v>
      </c>
      <c r="K12" s="288"/>
    </row>
    <row r="13" spans="1:11" ht="27.75" customHeight="1">
      <c r="A13" s="286" t="s">
        <v>240</v>
      </c>
      <c r="B13" s="293" t="s">
        <v>241</v>
      </c>
      <c r="C13" s="286" t="s">
        <v>237</v>
      </c>
      <c r="D13" s="292">
        <v>3236.4</v>
      </c>
      <c r="E13" s="288"/>
      <c r="F13" s="288"/>
      <c r="G13" s="289">
        <v>3236.4</v>
      </c>
      <c r="H13" s="290"/>
      <c r="I13" s="288"/>
      <c r="J13" s="288" t="s">
        <v>93</v>
      </c>
      <c r="K13" s="288"/>
    </row>
    <row r="14" spans="1:11" ht="27.75" customHeight="1">
      <c r="A14" s="286" t="s">
        <v>242</v>
      </c>
      <c r="B14" s="293" t="s">
        <v>243</v>
      </c>
      <c r="C14" s="286" t="s">
        <v>227</v>
      </c>
      <c r="D14" s="292">
        <v>743.4</v>
      </c>
      <c r="E14" s="288"/>
      <c r="F14" s="288"/>
      <c r="G14" s="289">
        <v>743.4</v>
      </c>
      <c r="H14" s="290"/>
      <c r="I14" s="288"/>
      <c r="J14" s="288" t="s">
        <v>93</v>
      </c>
      <c r="K14" s="288"/>
    </row>
    <row r="15" spans="1:11" ht="27.75" customHeight="1">
      <c r="A15" s="286" t="s">
        <v>244</v>
      </c>
      <c r="B15" s="293" t="s">
        <v>245</v>
      </c>
      <c r="C15" s="286" t="s">
        <v>234</v>
      </c>
      <c r="D15" s="292">
        <v>41994</v>
      </c>
      <c r="E15" s="288"/>
      <c r="F15" s="288"/>
      <c r="G15" s="289">
        <v>23328</v>
      </c>
      <c r="H15" s="290"/>
      <c r="I15" s="288"/>
      <c r="J15" s="288" t="s">
        <v>93</v>
      </c>
      <c r="K15" s="288"/>
    </row>
    <row r="16" spans="1:11" ht="27.75" customHeight="1">
      <c r="A16" s="286" t="s">
        <v>246</v>
      </c>
      <c r="B16" s="293" t="s">
        <v>247</v>
      </c>
      <c r="C16" s="286" t="s">
        <v>227</v>
      </c>
      <c r="D16" s="292">
        <v>4920</v>
      </c>
      <c r="E16" s="288"/>
      <c r="F16" s="288"/>
      <c r="G16" s="289">
        <v>4920</v>
      </c>
      <c r="H16" s="290"/>
      <c r="I16" s="288"/>
      <c r="J16" s="288" t="s">
        <v>93</v>
      </c>
      <c r="K16" s="288"/>
    </row>
    <row r="17" spans="1:11" ht="27.75" customHeight="1">
      <c r="A17" s="286" t="s">
        <v>248</v>
      </c>
      <c r="B17" s="293" t="s">
        <v>249</v>
      </c>
      <c r="C17" s="286" t="s">
        <v>227</v>
      </c>
      <c r="D17" s="292">
        <v>5941</v>
      </c>
      <c r="E17" s="288"/>
      <c r="F17" s="288"/>
      <c r="G17" s="289">
        <v>5941</v>
      </c>
      <c r="H17" s="290"/>
      <c r="I17" s="288"/>
      <c r="J17" s="288" t="s">
        <v>93</v>
      </c>
      <c r="K17" s="288"/>
    </row>
    <row r="18" spans="1:11" ht="27.75" customHeight="1">
      <c r="A18" s="295" t="s">
        <v>250</v>
      </c>
      <c r="B18" s="293" t="s">
        <v>251</v>
      </c>
      <c r="C18" s="286" t="s">
        <v>227</v>
      </c>
      <c r="D18" s="292">
        <v>1427.8</v>
      </c>
      <c r="E18" s="288"/>
      <c r="F18" s="288"/>
      <c r="G18" s="289">
        <v>1427.8</v>
      </c>
      <c r="H18" s="290"/>
      <c r="I18" s="288"/>
      <c r="J18" s="288" t="s">
        <v>93</v>
      </c>
      <c r="K18" s="288"/>
    </row>
    <row r="19" spans="1:11" ht="27.75" customHeight="1">
      <c r="A19" s="286" t="s">
        <v>252</v>
      </c>
      <c r="B19" s="293" t="s">
        <v>251</v>
      </c>
      <c r="C19" s="286" t="s">
        <v>227</v>
      </c>
      <c r="D19" s="292">
        <f>2000*0.8+400</f>
        <v>2000</v>
      </c>
      <c r="E19" s="288"/>
      <c r="F19" s="288"/>
      <c r="G19" s="289">
        <v>2000</v>
      </c>
      <c r="H19" s="290"/>
      <c r="I19" s="288"/>
      <c r="J19" s="288" t="s">
        <v>93</v>
      </c>
      <c r="K19" s="288"/>
    </row>
    <row r="20" spans="1:11" ht="27.75" customHeight="1">
      <c r="A20" s="286" t="s">
        <v>253</v>
      </c>
      <c r="B20" s="286" t="s">
        <v>254</v>
      </c>
      <c r="C20" s="286" t="s">
        <v>255</v>
      </c>
      <c r="D20" s="296">
        <f>5100*12</f>
        <v>61200</v>
      </c>
      <c r="E20" s="288"/>
      <c r="F20" s="288"/>
      <c r="G20" s="289">
        <v>61200</v>
      </c>
      <c r="H20" s="290"/>
      <c r="I20" s="288"/>
      <c r="J20" s="288" t="s">
        <v>93</v>
      </c>
      <c r="K20" s="288"/>
    </row>
    <row r="21" spans="1:11" ht="27.75" customHeight="1">
      <c r="A21" s="286" t="s">
        <v>256</v>
      </c>
      <c r="B21" s="286" t="s">
        <v>257</v>
      </c>
      <c r="C21" s="286" t="s">
        <v>258</v>
      </c>
      <c r="D21" s="296">
        <v>3000</v>
      </c>
      <c r="E21" s="288"/>
      <c r="F21" s="288"/>
      <c r="G21" s="289">
        <v>1548.71</v>
      </c>
      <c r="H21" s="290"/>
      <c r="I21" s="288"/>
      <c r="J21" s="288" t="s">
        <v>93</v>
      </c>
      <c r="K21" s="288"/>
    </row>
    <row r="22" spans="1:11" ht="27.75" customHeight="1">
      <c r="A22" s="286" t="s">
        <v>256</v>
      </c>
      <c r="B22" s="286" t="s">
        <v>259</v>
      </c>
      <c r="C22" s="286" t="s">
        <v>258</v>
      </c>
      <c r="D22" s="296">
        <f>416.5*12</f>
        <v>4998</v>
      </c>
      <c r="E22" s="288"/>
      <c r="F22" s="288"/>
      <c r="G22" s="289">
        <v>4998</v>
      </c>
      <c r="H22" s="290"/>
      <c r="I22" s="288"/>
      <c r="J22" s="288" t="s">
        <v>93</v>
      </c>
      <c r="K22" s="288"/>
    </row>
    <row r="23" spans="1:11" ht="27.75" customHeight="1">
      <c r="A23" s="286" t="s">
        <v>260</v>
      </c>
      <c r="B23" s="286" t="s">
        <v>261</v>
      </c>
      <c r="C23" s="286" t="s">
        <v>195</v>
      </c>
      <c r="D23" s="296">
        <v>800</v>
      </c>
      <c r="E23" s="288"/>
      <c r="F23" s="288"/>
      <c r="G23" s="289">
        <v>671.43</v>
      </c>
      <c r="H23" s="290"/>
      <c r="I23" s="288"/>
      <c r="J23" s="288" t="s">
        <v>93</v>
      </c>
      <c r="K23" s="288"/>
    </row>
    <row r="24" spans="1:11" ht="27.75" customHeight="1">
      <c r="A24" s="286" t="s">
        <v>262</v>
      </c>
      <c r="B24" s="286" t="s">
        <v>263</v>
      </c>
      <c r="C24" s="286" t="s">
        <v>264</v>
      </c>
      <c r="D24" s="296">
        <v>1000</v>
      </c>
      <c r="E24" s="288"/>
      <c r="F24" s="288"/>
      <c r="G24" s="289">
        <v>172.5</v>
      </c>
      <c r="H24" s="290"/>
      <c r="I24" s="288"/>
      <c r="J24" s="288" t="s">
        <v>93</v>
      </c>
      <c r="K24" s="288"/>
    </row>
    <row r="25" spans="1:11" ht="27.75" customHeight="1">
      <c r="A25" s="286" t="s">
        <v>260</v>
      </c>
      <c r="B25" s="286" t="s">
        <v>261</v>
      </c>
      <c r="C25" s="286" t="s">
        <v>195</v>
      </c>
      <c r="D25" s="296">
        <v>9000</v>
      </c>
      <c r="E25" s="288"/>
      <c r="F25" s="288"/>
      <c r="G25" s="289">
        <v>7889.78</v>
      </c>
      <c r="H25" s="290"/>
      <c r="I25" s="288"/>
      <c r="J25" s="288" t="s">
        <v>93</v>
      </c>
      <c r="K25" s="288"/>
    </row>
    <row r="26" spans="1:11" ht="27.75" customHeight="1">
      <c r="A26" s="286" t="s">
        <v>265</v>
      </c>
      <c r="B26" s="286" t="s">
        <v>261</v>
      </c>
      <c r="C26" s="286" t="s">
        <v>266</v>
      </c>
      <c r="D26" s="297">
        <f>450+14.5</f>
        <v>464.5</v>
      </c>
      <c r="E26" s="288"/>
      <c r="F26" s="288"/>
      <c r="G26" s="289">
        <v>464.5</v>
      </c>
      <c r="H26" s="290"/>
      <c r="I26" s="288"/>
      <c r="J26" s="288" t="s">
        <v>93</v>
      </c>
      <c r="K26" s="288"/>
    </row>
    <row r="27" spans="1:11" ht="27.75" customHeight="1">
      <c r="A27" s="286" t="s">
        <v>267</v>
      </c>
      <c r="B27" s="286" t="s">
        <v>268</v>
      </c>
      <c r="C27" s="286" t="s">
        <v>195</v>
      </c>
      <c r="D27" s="296">
        <f>800*6.55</f>
        <v>5240</v>
      </c>
      <c r="E27" s="288"/>
      <c r="F27" s="288"/>
      <c r="G27" s="289">
        <v>5240</v>
      </c>
      <c r="H27" s="290"/>
      <c r="I27" s="288"/>
      <c r="J27" s="288" t="s">
        <v>93</v>
      </c>
      <c r="K27" s="288"/>
    </row>
    <row r="28" spans="1:11" ht="27.75" customHeight="1">
      <c r="A28" s="286" t="s">
        <v>269</v>
      </c>
      <c r="B28" s="286" t="s">
        <v>270</v>
      </c>
      <c r="C28" s="286" t="s">
        <v>237</v>
      </c>
      <c r="D28" s="296">
        <v>700</v>
      </c>
      <c r="E28" s="288"/>
      <c r="F28" s="288"/>
      <c r="G28" s="289">
        <v>700</v>
      </c>
      <c r="H28" s="290"/>
      <c r="I28" s="288"/>
      <c r="J28" s="288" t="s">
        <v>93</v>
      </c>
      <c r="K28" s="288"/>
    </row>
    <row r="29" spans="1:11" ht="27.75" customHeight="1">
      <c r="A29" s="286" t="s">
        <v>271</v>
      </c>
      <c r="B29" s="286" t="s">
        <v>272</v>
      </c>
      <c r="C29" s="286" t="s">
        <v>237</v>
      </c>
      <c r="D29" s="296">
        <v>1000</v>
      </c>
      <c r="E29" s="288"/>
      <c r="F29" s="288"/>
      <c r="G29" s="289">
        <v>170</v>
      </c>
      <c r="H29" s="290"/>
      <c r="I29" s="288"/>
      <c r="J29" s="288" t="s">
        <v>93</v>
      </c>
      <c r="K29" s="288"/>
    </row>
    <row r="30" spans="1:11" ht="27.75" customHeight="1">
      <c r="A30" s="286" t="s">
        <v>273</v>
      </c>
      <c r="B30" s="293" t="s">
        <v>274</v>
      </c>
      <c r="C30" s="286" t="s">
        <v>237</v>
      </c>
      <c r="D30" s="296">
        <f>11*15</f>
        <v>165</v>
      </c>
      <c r="E30" s="288"/>
      <c r="F30" s="288"/>
      <c r="G30" s="289">
        <v>165</v>
      </c>
      <c r="H30" s="290"/>
      <c r="I30" s="288"/>
      <c r="J30" s="288" t="s">
        <v>93</v>
      </c>
      <c r="K30" s="288"/>
    </row>
    <row r="31" spans="1:11" ht="27.75" customHeight="1">
      <c r="A31" s="286" t="s">
        <v>275</v>
      </c>
      <c r="B31" s="293" t="s">
        <v>276</v>
      </c>
      <c r="C31" s="286" t="s">
        <v>237</v>
      </c>
      <c r="D31" s="296">
        <v>40</v>
      </c>
      <c r="E31" s="288"/>
      <c r="F31" s="288"/>
      <c r="G31" s="289">
        <v>40</v>
      </c>
      <c r="H31" s="290"/>
      <c r="I31" s="288"/>
      <c r="J31" s="288" t="s">
        <v>93</v>
      </c>
      <c r="K31" s="288"/>
    </row>
    <row r="32" spans="1:11" ht="27.75" customHeight="1">
      <c r="A32" s="286" t="s">
        <v>277</v>
      </c>
      <c r="B32" s="293" t="s">
        <v>278</v>
      </c>
      <c r="C32" s="286" t="s">
        <v>237</v>
      </c>
      <c r="D32" s="296">
        <f>10*193</f>
        <v>1930</v>
      </c>
      <c r="E32" s="288"/>
      <c r="F32" s="288"/>
      <c r="G32" s="289">
        <v>1930</v>
      </c>
      <c r="H32" s="290"/>
      <c r="I32" s="288"/>
      <c r="J32" s="288" t="s">
        <v>93</v>
      </c>
      <c r="K32" s="288"/>
    </row>
    <row r="33" spans="1:11" ht="27.75" customHeight="1">
      <c r="A33" s="298" t="s">
        <v>279</v>
      </c>
      <c r="B33" s="293" t="s">
        <v>280</v>
      </c>
      <c r="C33" s="286" t="s">
        <v>237</v>
      </c>
      <c r="D33" s="296">
        <v>1871.9</v>
      </c>
      <c r="E33" s="288"/>
      <c r="F33" s="288"/>
      <c r="G33" s="289">
        <v>1871.9</v>
      </c>
      <c r="H33" s="290"/>
      <c r="I33" s="288"/>
      <c r="J33" s="288" t="s">
        <v>93</v>
      </c>
      <c r="K33" s="288"/>
    </row>
    <row r="34" spans="1:11" ht="27.75" customHeight="1">
      <c r="A34" s="298" t="s">
        <v>279</v>
      </c>
      <c r="B34" s="293" t="s">
        <v>280</v>
      </c>
      <c r="C34" s="286" t="s">
        <v>237</v>
      </c>
      <c r="D34" s="296">
        <v>614</v>
      </c>
      <c r="E34" s="288"/>
      <c r="F34" s="288"/>
      <c r="G34" s="289">
        <v>614</v>
      </c>
      <c r="H34" s="290"/>
      <c r="I34" s="288"/>
      <c r="J34" s="288" t="s">
        <v>93</v>
      </c>
      <c r="K34" s="288"/>
    </row>
    <row r="35" spans="1:11" ht="27.75" customHeight="1">
      <c r="A35" s="298" t="s">
        <v>279</v>
      </c>
      <c r="B35" s="293" t="s">
        <v>281</v>
      </c>
      <c r="C35" s="286" t="s">
        <v>237</v>
      </c>
      <c r="D35" s="296">
        <v>80</v>
      </c>
      <c r="E35" s="288"/>
      <c r="F35" s="288"/>
      <c r="G35" s="289">
        <v>80</v>
      </c>
      <c r="H35" s="290"/>
      <c r="I35" s="288"/>
      <c r="J35" s="288" t="s">
        <v>93</v>
      </c>
      <c r="K35" s="288"/>
    </row>
    <row r="36" spans="1:11" ht="27.75" customHeight="1">
      <c r="A36" s="298" t="s">
        <v>279</v>
      </c>
      <c r="B36" s="293" t="s">
        <v>282</v>
      </c>
      <c r="C36" s="286" t="s">
        <v>237</v>
      </c>
      <c r="D36" s="296">
        <v>184</v>
      </c>
      <c r="E36" s="288"/>
      <c r="F36" s="288"/>
      <c r="G36" s="289">
        <v>184</v>
      </c>
      <c r="H36" s="290"/>
      <c r="I36" s="288"/>
      <c r="J36" s="288" t="s">
        <v>93</v>
      </c>
      <c r="K36" s="288"/>
    </row>
    <row r="37" spans="1:11" ht="27.75" customHeight="1">
      <c r="A37" s="298" t="s">
        <v>279</v>
      </c>
      <c r="B37" s="293" t="s">
        <v>283</v>
      </c>
      <c r="C37" s="286" t="s">
        <v>237</v>
      </c>
      <c r="D37" s="296">
        <v>1052</v>
      </c>
      <c r="E37" s="288"/>
      <c r="F37" s="288"/>
      <c r="G37" s="289">
        <v>1052</v>
      </c>
      <c r="H37" s="290"/>
      <c r="I37" s="288"/>
      <c r="J37" s="288" t="s">
        <v>93</v>
      </c>
      <c r="K37" s="288"/>
    </row>
    <row r="38" spans="1:11" ht="27.75" customHeight="1">
      <c r="A38" s="298" t="s">
        <v>284</v>
      </c>
      <c r="B38" s="293" t="s">
        <v>285</v>
      </c>
      <c r="C38" s="286" t="s">
        <v>237</v>
      </c>
      <c r="D38" s="296">
        <v>205</v>
      </c>
      <c r="E38" s="288"/>
      <c r="F38" s="288"/>
      <c r="G38" s="289">
        <v>205</v>
      </c>
      <c r="H38" s="290"/>
      <c r="I38" s="288"/>
      <c r="J38" s="288" t="s">
        <v>93</v>
      </c>
      <c r="K38" s="288"/>
    </row>
    <row r="39" spans="1:11" ht="27.75" customHeight="1">
      <c r="A39" s="299" t="s">
        <v>219</v>
      </c>
      <c r="B39" s="293" t="s">
        <v>286</v>
      </c>
      <c r="C39" s="286" t="s">
        <v>237</v>
      </c>
      <c r="D39" s="294">
        <f>2926+292.6-292.6</f>
        <v>2926</v>
      </c>
      <c r="E39" s="288"/>
      <c r="F39" s="288"/>
      <c r="G39" s="289">
        <v>2156</v>
      </c>
      <c r="H39" s="290"/>
      <c r="I39" s="288"/>
      <c r="J39" s="288" t="s">
        <v>93</v>
      </c>
      <c r="K39" s="288"/>
    </row>
    <row r="40" spans="1:11" ht="27.75" customHeight="1">
      <c r="A40" s="299" t="s">
        <v>287</v>
      </c>
      <c r="B40" s="293" t="s">
        <v>286</v>
      </c>
      <c r="C40" s="286" t="s">
        <v>237</v>
      </c>
      <c r="D40" s="296">
        <v>110</v>
      </c>
      <c r="E40" s="288"/>
      <c r="F40" s="288"/>
      <c r="G40" s="289">
        <v>110</v>
      </c>
      <c r="H40" s="290"/>
      <c r="I40" s="288"/>
      <c r="J40" s="288" t="s">
        <v>93</v>
      </c>
      <c r="K40" s="288"/>
    </row>
    <row r="41" spans="1:11" ht="27.75" customHeight="1">
      <c r="A41" s="286" t="s">
        <v>288</v>
      </c>
      <c r="B41" s="293" t="s">
        <v>289</v>
      </c>
      <c r="C41" s="286" t="s">
        <v>237</v>
      </c>
      <c r="D41" s="296">
        <f>6*25</f>
        <v>150</v>
      </c>
      <c r="E41" s="288"/>
      <c r="F41" s="288"/>
      <c r="G41" s="289">
        <v>150</v>
      </c>
      <c r="H41" s="290"/>
      <c r="I41" s="288"/>
      <c r="J41" s="288" t="s">
        <v>93</v>
      </c>
      <c r="K41" s="288"/>
    </row>
    <row r="42" spans="1:11" ht="27.75" customHeight="1">
      <c r="A42" s="286" t="s">
        <v>290</v>
      </c>
      <c r="B42" s="293" t="s">
        <v>291</v>
      </c>
      <c r="C42" s="286" t="s">
        <v>237</v>
      </c>
      <c r="D42" s="296">
        <f>8*465</f>
        <v>3720</v>
      </c>
      <c r="E42" s="288"/>
      <c r="F42" s="288"/>
      <c r="G42" s="289">
        <v>3720</v>
      </c>
      <c r="H42" s="290"/>
      <c r="I42" s="288"/>
      <c r="J42" s="288" t="s">
        <v>93</v>
      </c>
      <c r="K42" s="288"/>
    </row>
    <row r="43" spans="1:11" ht="27.75" customHeight="1">
      <c r="A43" s="286" t="s">
        <v>292</v>
      </c>
      <c r="B43" s="293" t="s">
        <v>293</v>
      </c>
      <c r="C43" s="286" t="s">
        <v>237</v>
      </c>
      <c r="D43" s="296">
        <v>708.25</v>
      </c>
      <c r="E43" s="288"/>
      <c r="F43" s="288"/>
      <c r="G43" s="289">
        <v>708.25</v>
      </c>
      <c r="H43" s="290"/>
      <c r="I43" s="288"/>
      <c r="J43" s="288" t="s">
        <v>93</v>
      </c>
      <c r="K43" s="288"/>
    </row>
    <row r="44" spans="1:11" ht="27.75" customHeight="1">
      <c r="A44" s="286" t="s">
        <v>294</v>
      </c>
      <c r="B44" s="293" t="s">
        <v>295</v>
      </c>
      <c r="C44" s="286" t="s">
        <v>237</v>
      </c>
      <c r="D44" s="296">
        <v>97.5</v>
      </c>
      <c r="E44" s="288"/>
      <c r="F44" s="288"/>
      <c r="G44" s="289">
        <v>97.5</v>
      </c>
      <c r="H44" s="290"/>
      <c r="I44" s="288"/>
      <c r="J44" s="288" t="s">
        <v>93</v>
      </c>
      <c r="K44" s="288"/>
    </row>
    <row r="45" spans="1:11" ht="27.75" customHeight="1">
      <c r="A45" s="286" t="s">
        <v>294</v>
      </c>
      <c r="B45" s="293" t="s">
        <v>296</v>
      </c>
      <c r="C45" s="286" t="s">
        <v>237</v>
      </c>
      <c r="D45" s="296">
        <v>2800</v>
      </c>
      <c r="E45" s="288"/>
      <c r="F45" s="288"/>
      <c r="G45" s="289">
        <v>2800</v>
      </c>
      <c r="H45" s="290"/>
      <c r="I45" s="288"/>
      <c r="J45" s="288" t="s">
        <v>93</v>
      </c>
      <c r="K45" s="288"/>
    </row>
    <row r="46" spans="1:11" ht="27.75" customHeight="1">
      <c r="A46" s="286" t="s">
        <v>294</v>
      </c>
      <c r="B46" s="293" t="s">
        <v>297</v>
      </c>
      <c r="C46" s="286" t="s">
        <v>237</v>
      </c>
      <c r="D46" s="296">
        <f>950*1.1</f>
        <v>1045</v>
      </c>
      <c r="E46" s="288"/>
      <c r="F46" s="288"/>
      <c r="G46" s="289">
        <v>1045</v>
      </c>
      <c r="H46" s="290"/>
      <c r="I46" s="288"/>
      <c r="J46" s="288" t="s">
        <v>93</v>
      </c>
      <c r="K46" s="288"/>
    </row>
    <row r="47" spans="1:11" ht="27.75" customHeight="1">
      <c r="A47" s="286" t="s">
        <v>294</v>
      </c>
      <c r="B47" s="293" t="s">
        <v>298</v>
      </c>
      <c r="C47" s="286" t="s">
        <v>237</v>
      </c>
      <c r="D47" s="296">
        <v>3250</v>
      </c>
      <c r="E47" s="288"/>
      <c r="F47" s="288"/>
      <c r="G47" s="289">
        <v>3250</v>
      </c>
      <c r="H47" s="290"/>
      <c r="I47" s="288"/>
      <c r="J47" s="288" t="s">
        <v>93</v>
      </c>
      <c r="K47" s="288"/>
    </row>
    <row r="48" spans="1:11" ht="27.75" customHeight="1">
      <c r="A48" s="286" t="s">
        <v>294</v>
      </c>
      <c r="B48" s="293" t="s">
        <v>299</v>
      </c>
      <c r="C48" s="286" t="s">
        <v>237</v>
      </c>
      <c r="D48" s="296">
        <v>730</v>
      </c>
      <c r="E48" s="288"/>
      <c r="F48" s="288"/>
      <c r="G48" s="289">
        <v>730</v>
      </c>
      <c r="H48" s="290"/>
      <c r="I48" s="288"/>
      <c r="J48" s="288" t="s">
        <v>93</v>
      </c>
      <c r="K48" s="288"/>
    </row>
    <row r="49" spans="1:11" ht="27.75" customHeight="1">
      <c r="A49" s="286" t="s">
        <v>294</v>
      </c>
      <c r="B49" s="293" t="s">
        <v>300</v>
      </c>
      <c r="C49" s="286" t="s">
        <v>237</v>
      </c>
      <c r="D49" s="296">
        <v>975</v>
      </c>
      <c r="E49" s="288"/>
      <c r="F49" s="288"/>
      <c r="G49" s="289">
        <v>975</v>
      </c>
      <c r="H49" s="290"/>
      <c r="I49" s="288"/>
      <c r="J49" s="288" t="s">
        <v>93</v>
      </c>
      <c r="K49" s="288"/>
    </row>
    <row r="50" spans="1:11" ht="27.75" customHeight="1">
      <c r="A50" s="286" t="s">
        <v>294</v>
      </c>
      <c r="B50" s="293" t="s">
        <v>301</v>
      </c>
      <c r="C50" s="286" t="s">
        <v>237</v>
      </c>
      <c r="D50" s="296">
        <v>3887.5</v>
      </c>
      <c r="E50" s="288"/>
      <c r="F50" s="288"/>
      <c r="G50" s="289">
        <v>3887.5</v>
      </c>
      <c r="H50" s="290"/>
      <c r="I50" s="288"/>
      <c r="J50" s="288" t="s">
        <v>93</v>
      </c>
      <c r="K50" s="288"/>
    </row>
    <row r="51" spans="1:11" ht="27.75" customHeight="1">
      <c r="A51" s="286" t="s">
        <v>302</v>
      </c>
      <c r="B51" s="286" t="s">
        <v>303</v>
      </c>
      <c r="C51" s="286" t="s">
        <v>237</v>
      </c>
      <c r="D51" s="296">
        <v>130</v>
      </c>
      <c r="E51" s="288"/>
      <c r="F51" s="288"/>
      <c r="G51" s="289">
        <v>130</v>
      </c>
      <c r="H51" s="290"/>
      <c r="I51" s="288"/>
      <c r="J51" s="288" t="s">
        <v>93</v>
      </c>
      <c r="K51" s="288"/>
    </row>
    <row r="52" spans="1:11" ht="27.75" customHeight="1">
      <c r="A52" s="286" t="s">
        <v>304</v>
      </c>
      <c r="B52" s="286" t="s">
        <v>305</v>
      </c>
      <c r="C52" s="286" t="s">
        <v>237</v>
      </c>
      <c r="D52" s="296">
        <v>1940</v>
      </c>
      <c r="E52" s="288"/>
      <c r="F52" s="288"/>
      <c r="G52" s="289">
        <v>1940</v>
      </c>
      <c r="H52" s="290"/>
      <c r="I52" s="288"/>
      <c r="J52" s="288" t="s">
        <v>93</v>
      </c>
      <c r="K52" s="288"/>
    </row>
    <row r="53" spans="1:11" ht="27.75" customHeight="1">
      <c r="A53" s="286" t="s">
        <v>306</v>
      </c>
      <c r="B53" s="286" t="s">
        <v>307</v>
      </c>
      <c r="C53" s="286" t="s">
        <v>237</v>
      </c>
      <c r="D53" s="296">
        <f>5.85*20</f>
        <v>117</v>
      </c>
      <c r="E53" s="288"/>
      <c r="F53" s="288"/>
      <c r="G53" s="289">
        <v>117</v>
      </c>
      <c r="H53" s="290"/>
      <c r="I53" s="288"/>
      <c r="J53" s="288" t="s">
        <v>93</v>
      </c>
      <c r="K53" s="288"/>
    </row>
    <row r="54" spans="1:11" ht="27.75" customHeight="1">
      <c r="A54" s="286" t="s">
        <v>308</v>
      </c>
      <c r="B54" s="286" t="s">
        <v>309</v>
      </c>
      <c r="C54" s="286" t="s">
        <v>237</v>
      </c>
      <c r="D54" s="296">
        <f>(62.42*9+62.39)+(66.84*9+66.83)</f>
        <v>1292.56</v>
      </c>
      <c r="E54" s="288"/>
      <c r="F54" s="288"/>
      <c r="G54" s="289">
        <v>1292.56</v>
      </c>
      <c r="H54" s="290"/>
      <c r="I54" s="288"/>
      <c r="J54" s="288" t="s">
        <v>93</v>
      </c>
      <c r="K54" s="288"/>
    </row>
    <row r="55" spans="1:11" ht="27.75" customHeight="1">
      <c r="A55" s="286" t="s">
        <v>310</v>
      </c>
      <c r="B55" s="293" t="s">
        <v>311</v>
      </c>
      <c r="C55" s="286" t="s">
        <v>237</v>
      </c>
      <c r="D55" s="294">
        <f>1480+90</f>
        <v>1570</v>
      </c>
      <c r="E55" s="288"/>
      <c r="F55" s="288"/>
      <c r="G55" s="289">
        <v>1570</v>
      </c>
      <c r="H55" s="290"/>
      <c r="I55" s="288"/>
      <c r="J55" s="288" t="s">
        <v>93</v>
      </c>
      <c r="K55" s="288"/>
    </row>
    <row r="56" spans="1:11" ht="27.75" customHeight="1">
      <c r="A56" s="286" t="s">
        <v>312</v>
      </c>
      <c r="B56" s="286" t="s">
        <v>313</v>
      </c>
      <c r="C56" s="286" t="s">
        <v>237</v>
      </c>
      <c r="D56" s="296">
        <v>380</v>
      </c>
      <c r="E56" s="288"/>
      <c r="F56" s="288"/>
      <c r="G56" s="289">
        <v>380</v>
      </c>
      <c r="H56" s="290"/>
      <c r="I56" s="288"/>
      <c r="J56" s="288" t="s">
        <v>93</v>
      </c>
      <c r="K56" s="288"/>
    </row>
    <row r="57" spans="1:11" ht="27.75" customHeight="1">
      <c r="A57" s="299" t="s">
        <v>314</v>
      </c>
      <c r="B57" s="286" t="s">
        <v>315</v>
      </c>
      <c r="C57" s="286" t="s">
        <v>237</v>
      </c>
      <c r="D57" s="296">
        <v>818</v>
      </c>
      <c r="E57" s="288"/>
      <c r="F57" s="288"/>
      <c r="G57" s="289">
        <v>818</v>
      </c>
      <c r="H57" s="290"/>
      <c r="I57" s="288"/>
      <c r="J57" s="288" t="s">
        <v>93</v>
      </c>
      <c r="K57" s="288"/>
    </row>
    <row r="58" spans="1:11" ht="27.75" customHeight="1">
      <c r="A58" s="286" t="s">
        <v>292</v>
      </c>
      <c r="B58" s="286" t="s">
        <v>316</v>
      </c>
      <c r="C58" s="286" t="s">
        <v>237</v>
      </c>
      <c r="D58" s="296">
        <f>6*50</f>
        <v>300</v>
      </c>
      <c r="E58" s="288"/>
      <c r="F58" s="288"/>
      <c r="G58" s="289">
        <v>300</v>
      </c>
      <c r="H58" s="290"/>
      <c r="I58" s="288"/>
      <c r="J58" s="288" t="s">
        <v>93</v>
      </c>
      <c r="K58" s="288"/>
    </row>
    <row r="59" spans="1:11" ht="27.75" customHeight="1">
      <c r="A59" s="286" t="s">
        <v>294</v>
      </c>
      <c r="B59" s="286" t="s">
        <v>317</v>
      </c>
      <c r="C59" s="286" t="s">
        <v>237</v>
      </c>
      <c r="D59" s="296">
        <f>100000*0.0104</f>
        <v>1040</v>
      </c>
      <c r="E59" s="288"/>
      <c r="F59" s="288"/>
      <c r="G59" s="289">
        <v>1040</v>
      </c>
      <c r="H59" s="290"/>
      <c r="I59" s="288"/>
      <c r="J59" s="288" t="s">
        <v>93</v>
      </c>
      <c r="K59" s="288"/>
    </row>
    <row r="60" spans="1:11" ht="27.75" customHeight="1">
      <c r="A60" s="286" t="s">
        <v>318</v>
      </c>
      <c r="B60" s="286" t="s">
        <v>319</v>
      </c>
      <c r="C60" s="286" t="s">
        <v>237</v>
      </c>
      <c r="D60" s="296">
        <f>9*13</f>
        <v>117</v>
      </c>
      <c r="E60" s="288"/>
      <c r="F60" s="288"/>
      <c r="G60" s="289">
        <v>117</v>
      </c>
      <c r="H60" s="290"/>
      <c r="I60" s="288"/>
      <c r="J60" s="288" t="s">
        <v>93</v>
      </c>
      <c r="K60" s="288"/>
    </row>
    <row r="61" spans="1:11" ht="27.75" customHeight="1">
      <c r="A61" s="286" t="s">
        <v>320</v>
      </c>
      <c r="B61" s="286" t="s">
        <v>321</v>
      </c>
      <c r="C61" s="286" t="s">
        <v>237</v>
      </c>
      <c r="D61" s="296">
        <f>6*65</f>
        <v>390</v>
      </c>
      <c r="E61" s="288"/>
      <c r="F61" s="288"/>
      <c r="G61" s="289">
        <v>390</v>
      </c>
      <c r="H61" s="290"/>
      <c r="I61" s="288"/>
      <c r="J61" s="288" t="s">
        <v>93</v>
      </c>
      <c r="K61" s="288"/>
    </row>
    <row r="62" spans="1:11" ht="37.5" customHeight="1">
      <c r="A62" s="286" t="s">
        <v>322</v>
      </c>
      <c r="B62" s="300" t="s">
        <v>323</v>
      </c>
      <c r="C62" s="286" t="s">
        <v>237</v>
      </c>
      <c r="D62" s="296">
        <v>4892.5</v>
      </c>
      <c r="E62" s="288"/>
      <c r="F62" s="288"/>
      <c r="G62" s="289">
        <v>4892.5</v>
      </c>
      <c r="H62" s="290"/>
      <c r="I62" s="288"/>
      <c r="J62" s="288" t="s">
        <v>93</v>
      </c>
      <c r="K62" s="288"/>
    </row>
    <row r="63" spans="1:11" ht="27.75" customHeight="1">
      <c r="A63" s="286" t="s">
        <v>324</v>
      </c>
      <c r="B63" s="286" t="s">
        <v>325</v>
      </c>
      <c r="C63" s="286" t="s">
        <v>237</v>
      </c>
      <c r="D63" s="296">
        <f>100*4</f>
        <v>400</v>
      </c>
      <c r="E63" s="288"/>
      <c r="F63" s="288"/>
      <c r="G63" s="289">
        <v>400</v>
      </c>
      <c r="H63" s="290"/>
      <c r="I63" s="288"/>
      <c r="J63" s="288" t="s">
        <v>93</v>
      </c>
      <c r="K63" s="288"/>
    </row>
    <row r="64" spans="1:11" ht="27.75" customHeight="1">
      <c r="A64" s="286" t="s">
        <v>324</v>
      </c>
      <c r="B64" s="286" t="s">
        <v>326</v>
      </c>
      <c r="C64" s="286" t="s">
        <v>237</v>
      </c>
      <c r="D64" s="296">
        <v>1400</v>
      </c>
      <c r="E64" s="288"/>
      <c r="F64" s="288"/>
      <c r="G64" s="289">
        <v>1400</v>
      </c>
      <c r="H64" s="290"/>
      <c r="I64" s="288"/>
      <c r="J64" s="288" t="s">
        <v>93</v>
      </c>
      <c r="K64" s="288"/>
    </row>
    <row r="65" spans="1:11" ht="27.75" customHeight="1">
      <c r="A65" s="286" t="s">
        <v>324</v>
      </c>
      <c r="B65" s="286" t="s">
        <v>327</v>
      </c>
      <c r="C65" s="286" t="s">
        <v>237</v>
      </c>
      <c r="D65" s="296">
        <v>2884</v>
      </c>
      <c r="E65" s="288"/>
      <c r="F65" s="288"/>
      <c r="G65" s="289">
        <v>2884</v>
      </c>
      <c r="H65" s="290"/>
      <c r="I65" s="288"/>
      <c r="J65" s="288" t="s">
        <v>93</v>
      </c>
      <c r="K65" s="288"/>
    </row>
    <row r="66" spans="1:11" ht="27.75" customHeight="1">
      <c r="A66" s="286" t="s">
        <v>328</v>
      </c>
      <c r="B66" s="286" t="s">
        <v>329</v>
      </c>
      <c r="C66" s="286" t="s">
        <v>237</v>
      </c>
      <c r="D66" s="296">
        <v>170</v>
      </c>
      <c r="E66" s="288"/>
      <c r="F66" s="288"/>
      <c r="G66" s="289">
        <v>119</v>
      </c>
      <c r="H66" s="290"/>
      <c r="I66" s="288"/>
      <c r="J66" s="288" t="s">
        <v>93</v>
      </c>
      <c r="K66" s="288"/>
    </row>
    <row r="67" spans="1:11" ht="27.75" customHeight="1">
      <c r="A67" s="286" t="s">
        <v>330</v>
      </c>
      <c r="B67" s="286" t="s">
        <v>331</v>
      </c>
      <c r="C67" s="286" t="s">
        <v>237</v>
      </c>
      <c r="D67" s="296">
        <f>3981-34</f>
        <v>3947</v>
      </c>
      <c r="E67" s="288"/>
      <c r="F67" s="288"/>
      <c r="G67" s="289">
        <v>3947</v>
      </c>
      <c r="H67" s="290"/>
      <c r="I67" s="288"/>
      <c r="J67" s="288" t="s">
        <v>93</v>
      </c>
      <c r="K67" s="288"/>
    </row>
    <row r="68" spans="1:11" ht="27.75" customHeight="1">
      <c r="A68" s="286" t="s">
        <v>312</v>
      </c>
      <c r="B68" s="286" t="s">
        <v>313</v>
      </c>
      <c r="C68" s="286" t="s">
        <v>237</v>
      </c>
      <c r="D68" s="296">
        <v>380</v>
      </c>
      <c r="E68" s="288"/>
      <c r="F68" s="288"/>
      <c r="G68" s="289">
        <v>380</v>
      </c>
      <c r="H68" s="290"/>
      <c r="I68" s="288"/>
      <c r="J68" s="288" t="s">
        <v>93</v>
      </c>
      <c r="K68" s="288"/>
    </row>
    <row r="69" spans="1:11" ht="36.75" customHeight="1">
      <c r="A69" s="286" t="s">
        <v>332</v>
      </c>
      <c r="B69" s="286" t="s">
        <v>333</v>
      </c>
      <c r="C69" s="286" t="s">
        <v>334</v>
      </c>
      <c r="D69" s="296">
        <v>1917.81</v>
      </c>
      <c r="E69" s="288"/>
      <c r="F69" s="288"/>
      <c r="G69" s="289">
        <v>776.72</v>
      </c>
      <c r="H69" s="290"/>
      <c r="I69" s="288"/>
      <c r="J69" s="288" t="s">
        <v>93</v>
      </c>
      <c r="K69" s="288"/>
    </row>
    <row r="70" spans="1:11" ht="27.75" customHeight="1">
      <c r="A70" s="286" t="s">
        <v>335</v>
      </c>
      <c r="B70" s="286" t="s">
        <v>336</v>
      </c>
      <c r="C70" s="286" t="s">
        <v>237</v>
      </c>
      <c r="D70" s="296">
        <f>2*30</f>
        <v>60</v>
      </c>
      <c r="E70" s="288"/>
      <c r="F70" s="288"/>
      <c r="G70" s="289">
        <v>60</v>
      </c>
      <c r="H70" s="290"/>
      <c r="I70" s="288"/>
      <c r="J70" s="288" t="s">
        <v>93</v>
      </c>
      <c r="K70" s="288"/>
    </row>
    <row r="71" spans="1:11" ht="27.75" customHeight="1">
      <c r="A71" s="286" t="s">
        <v>290</v>
      </c>
      <c r="B71" s="291" t="s">
        <v>337</v>
      </c>
      <c r="C71" s="286" t="s">
        <v>237</v>
      </c>
      <c r="D71" s="296">
        <f>20*16</f>
        <v>320</v>
      </c>
      <c r="E71" s="288"/>
      <c r="F71" s="288"/>
      <c r="G71" s="289">
        <v>320</v>
      </c>
      <c r="H71" s="290"/>
      <c r="I71" s="288"/>
      <c r="J71" s="288" t="s">
        <v>93</v>
      </c>
      <c r="K71" s="288"/>
    </row>
    <row r="72" spans="1:11" ht="27.75" customHeight="1">
      <c r="A72" s="286" t="s">
        <v>338</v>
      </c>
      <c r="B72" s="291" t="s">
        <v>339</v>
      </c>
      <c r="C72" s="286" t="s">
        <v>237</v>
      </c>
      <c r="D72" s="296">
        <f>100*1+100*1</f>
        <v>200</v>
      </c>
      <c r="E72" s="288"/>
      <c r="F72" s="288"/>
      <c r="G72" s="289">
        <v>200</v>
      </c>
      <c r="H72" s="290"/>
      <c r="I72" s="288"/>
      <c r="J72" s="288" t="s">
        <v>93</v>
      </c>
      <c r="K72" s="288"/>
    </row>
    <row r="73" spans="1:11" ht="27.75" customHeight="1">
      <c r="A73" s="286" t="s">
        <v>340</v>
      </c>
      <c r="B73" s="291" t="s">
        <v>341</v>
      </c>
      <c r="C73" s="286" t="s">
        <v>237</v>
      </c>
      <c r="D73" s="296">
        <v>270</v>
      </c>
      <c r="E73" s="288"/>
      <c r="F73" s="288"/>
      <c r="G73" s="289">
        <v>270</v>
      </c>
      <c r="H73" s="290"/>
      <c r="I73" s="288"/>
      <c r="J73" s="288" t="s">
        <v>93</v>
      </c>
      <c r="K73" s="288"/>
    </row>
    <row r="74" spans="1:11" ht="27.75" customHeight="1">
      <c r="A74" s="286" t="s">
        <v>342</v>
      </c>
      <c r="B74" s="291" t="s">
        <v>343</v>
      </c>
      <c r="C74" s="286" t="s">
        <v>237</v>
      </c>
      <c r="D74" s="296">
        <v>498</v>
      </c>
      <c r="E74" s="288"/>
      <c r="F74" s="288"/>
      <c r="G74" s="289">
        <v>498</v>
      </c>
      <c r="H74" s="290"/>
      <c r="I74" s="288"/>
      <c r="J74" s="288" t="s">
        <v>93</v>
      </c>
      <c r="K74" s="288"/>
    </row>
    <row r="75" spans="1:11" ht="27.75" customHeight="1">
      <c r="A75" s="286" t="s">
        <v>344</v>
      </c>
      <c r="B75" s="291" t="s">
        <v>345</v>
      </c>
      <c r="C75" s="286" t="s">
        <v>346</v>
      </c>
      <c r="D75" s="296">
        <v>288</v>
      </c>
      <c r="E75" s="288"/>
      <c r="F75" s="288"/>
      <c r="G75" s="289">
        <v>288</v>
      </c>
      <c r="H75" s="290"/>
      <c r="I75" s="288"/>
      <c r="J75" s="288" t="s">
        <v>93</v>
      </c>
      <c r="K75" s="288"/>
    </row>
    <row r="76" spans="1:11" ht="27.75" customHeight="1">
      <c r="A76" s="286" t="s">
        <v>347</v>
      </c>
      <c r="B76" s="291" t="s">
        <v>348</v>
      </c>
      <c r="C76" s="286" t="s">
        <v>237</v>
      </c>
      <c r="D76" s="296">
        <v>2778</v>
      </c>
      <c r="E76" s="288"/>
      <c r="F76" s="288"/>
      <c r="G76" s="289">
        <v>2363.8</v>
      </c>
      <c r="H76" s="290"/>
      <c r="I76" s="288"/>
      <c r="J76" s="288" t="s">
        <v>93</v>
      </c>
      <c r="K76" s="288"/>
    </row>
    <row r="77" spans="1:11" ht="27.75" customHeight="1">
      <c r="A77" s="286" t="s">
        <v>347</v>
      </c>
      <c r="B77" s="291" t="s">
        <v>349</v>
      </c>
      <c r="C77" s="286" t="s">
        <v>237</v>
      </c>
      <c r="D77" s="296">
        <v>4400</v>
      </c>
      <c r="E77" s="288"/>
      <c r="F77" s="288"/>
      <c r="G77" s="289">
        <v>4400</v>
      </c>
      <c r="H77" s="290"/>
      <c r="I77" s="288"/>
      <c r="J77" s="288" t="s">
        <v>93</v>
      </c>
      <c r="K77" s="288"/>
    </row>
    <row r="78" spans="1:11" ht="38.25" customHeight="1">
      <c r="A78" s="286" t="s">
        <v>350</v>
      </c>
      <c r="B78" s="291" t="s">
        <v>351</v>
      </c>
      <c r="C78" s="286" t="s">
        <v>234</v>
      </c>
      <c r="D78" s="296">
        <v>9050</v>
      </c>
      <c r="E78" s="288"/>
      <c r="F78" s="288"/>
      <c r="G78" s="289">
        <v>9050</v>
      </c>
      <c r="H78" s="290"/>
      <c r="I78" s="288"/>
      <c r="J78" s="288" t="s">
        <v>93</v>
      </c>
      <c r="K78" s="288"/>
    </row>
    <row r="79" spans="1:11" ht="38.25" customHeight="1">
      <c r="A79" s="286" t="s">
        <v>352</v>
      </c>
      <c r="B79" s="291" t="s">
        <v>353</v>
      </c>
      <c r="C79" s="286" t="s">
        <v>237</v>
      </c>
      <c r="D79" s="296">
        <v>450</v>
      </c>
      <c r="E79" s="288"/>
      <c r="F79" s="288"/>
      <c r="G79" s="289">
        <v>450</v>
      </c>
      <c r="H79" s="290"/>
      <c r="I79" s="288"/>
      <c r="J79" s="288" t="s">
        <v>93</v>
      </c>
      <c r="K79" s="288"/>
    </row>
    <row r="80" spans="1:11" ht="27.75" customHeight="1">
      <c r="A80" s="286" t="s">
        <v>354</v>
      </c>
      <c r="B80" s="291" t="s">
        <v>355</v>
      </c>
      <c r="C80" s="286" t="s">
        <v>237</v>
      </c>
      <c r="D80" s="296">
        <f>400*0.8+80</f>
        <v>400</v>
      </c>
      <c r="E80" s="288"/>
      <c r="F80" s="288"/>
      <c r="G80" s="289">
        <v>400</v>
      </c>
      <c r="H80" s="290"/>
      <c r="I80" s="288"/>
      <c r="J80" s="288" t="s">
        <v>93</v>
      </c>
      <c r="K80" s="288"/>
    </row>
    <row r="81" spans="1:11" ht="39" customHeight="1">
      <c r="A81" s="286" t="s">
        <v>352</v>
      </c>
      <c r="B81" s="293" t="s">
        <v>356</v>
      </c>
      <c r="C81" s="286" t="s">
        <v>237</v>
      </c>
      <c r="D81" s="296">
        <v>150</v>
      </c>
      <c r="E81" s="288"/>
      <c r="F81" s="288"/>
      <c r="G81" s="289">
        <v>150</v>
      </c>
      <c r="H81" s="290"/>
      <c r="I81" s="288"/>
      <c r="J81" s="288" t="s">
        <v>93</v>
      </c>
      <c r="K81" s="288"/>
    </row>
    <row r="82" spans="1:11" ht="27.75" customHeight="1">
      <c r="A82" s="286" t="s">
        <v>357</v>
      </c>
      <c r="B82" s="291" t="s">
        <v>358</v>
      </c>
      <c r="C82" s="286" t="s">
        <v>237</v>
      </c>
      <c r="D82" s="296">
        <f>5004*0.25</f>
        <v>1251</v>
      </c>
      <c r="E82" s="288"/>
      <c r="F82" s="288"/>
      <c r="G82" s="289">
        <v>1251</v>
      </c>
      <c r="H82" s="290"/>
      <c r="I82" s="288"/>
      <c r="J82" s="288" t="s">
        <v>93</v>
      </c>
      <c r="K82" s="288"/>
    </row>
    <row r="83" spans="1:11" ht="27.75" customHeight="1">
      <c r="A83" s="299" t="s">
        <v>359</v>
      </c>
      <c r="B83" s="291" t="s">
        <v>360</v>
      </c>
      <c r="C83" s="286" t="s">
        <v>237</v>
      </c>
      <c r="D83" s="296">
        <f>1500*1.68</f>
        <v>2520</v>
      </c>
      <c r="E83" s="288"/>
      <c r="F83" s="288"/>
      <c r="G83" s="289">
        <v>2520</v>
      </c>
      <c r="H83" s="290"/>
      <c r="I83" s="288"/>
      <c r="J83" s="288" t="s">
        <v>93</v>
      </c>
      <c r="K83" s="288"/>
    </row>
    <row r="84" spans="1:11" ht="27.75" customHeight="1">
      <c r="A84" s="286" t="s">
        <v>361</v>
      </c>
      <c r="B84" s="291" t="s">
        <v>362</v>
      </c>
      <c r="C84" s="286" t="s">
        <v>237</v>
      </c>
      <c r="D84" s="296">
        <v>250</v>
      </c>
      <c r="E84" s="288"/>
      <c r="F84" s="288"/>
      <c r="G84" s="289">
        <v>250</v>
      </c>
      <c r="H84" s="290"/>
      <c r="I84" s="288"/>
      <c r="J84" s="288" t="s">
        <v>93</v>
      </c>
      <c r="K84" s="288"/>
    </row>
    <row r="85" spans="1:11" ht="27.75" customHeight="1">
      <c r="A85" s="286" t="s">
        <v>363</v>
      </c>
      <c r="B85" s="291" t="s">
        <v>364</v>
      </c>
      <c r="C85" s="286" t="s">
        <v>237</v>
      </c>
      <c r="D85" s="296">
        <v>1100.06</v>
      </c>
      <c r="E85" s="288"/>
      <c r="F85" s="288"/>
      <c r="G85" s="289">
        <v>1100.06</v>
      </c>
      <c r="H85" s="290"/>
      <c r="I85" s="288"/>
      <c r="J85" s="288" t="s">
        <v>93</v>
      </c>
      <c r="K85" s="288"/>
    </row>
    <row r="86" spans="1:11" ht="27.75" customHeight="1">
      <c r="A86" s="286" t="s">
        <v>365</v>
      </c>
      <c r="B86" s="291" t="s">
        <v>366</v>
      </c>
      <c r="C86" s="286" t="s">
        <v>237</v>
      </c>
      <c r="D86" s="296">
        <f>10*15</f>
        <v>150</v>
      </c>
      <c r="E86" s="288"/>
      <c r="F86" s="288"/>
      <c r="G86" s="289">
        <v>150</v>
      </c>
      <c r="H86" s="290"/>
      <c r="I86" s="288"/>
      <c r="J86" s="288" t="s">
        <v>93</v>
      </c>
      <c r="K86" s="288"/>
    </row>
    <row r="87" spans="1:11" ht="27.75" customHeight="1">
      <c r="A87" s="286" t="s">
        <v>354</v>
      </c>
      <c r="B87" s="291" t="s">
        <v>355</v>
      </c>
      <c r="C87" s="286" t="s">
        <v>237</v>
      </c>
      <c r="D87" s="296">
        <f>150/0.8</f>
        <v>187.5</v>
      </c>
      <c r="E87" s="288"/>
      <c r="F87" s="288"/>
      <c r="G87" s="289">
        <v>187.5</v>
      </c>
      <c r="H87" s="290"/>
      <c r="I87" s="288"/>
      <c r="J87" s="288" t="s">
        <v>93</v>
      </c>
      <c r="K87" s="288"/>
    </row>
    <row r="88" spans="1:11" ht="27.75" customHeight="1">
      <c r="A88" s="286" t="s">
        <v>310</v>
      </c>
      <c r="B88" s="293" t="s">
        <v>311</v>
      </c>
      <c r="C88" s="286" t="s">
        <v>237</v>
      </c>
      <c r="D88" s="296">
        <v>1100</v>
      </c>
      <c r="E88" s="288"/>
      <c r="F88" s="288"/>
      <c r="G88" s="289">
        <v>1100</v>
      </c>
      <c r="H88" s="290"/>
      <c r="I88" s="288"/>
      <c r="J88" s="288" t="s">
        <v>93</v>
      </c>
      <c r="K88" s="288"/>
    </row>
    <row r="89" spans="1:11" ht="27.75" customHeight="1">
      <c r="A89" s="286" t="s">
        <v>367</v>
      </c>
      <c r="B89" s="291" t="s">
        <v>362</v>
      </c>
      <c r="C89" s="286" t="s">
        <v>237</v>
      </c>
      <c r="D89" s="296">
        <f>2*180</f>
        <v>360</v>
      </c>
      <c r="E89" s="288"/>
      <c r="F89" s="288"/>
      <c r="G89" s="289">
        <v>360</v>
      </c>
      <c r="H89" s="290"/>
      <c r="I89" s="288"/>
      <c r="J89" s="288" t="s">
        <v>93</v>
      </c>
      <c r="K89" s="288"/>
    </row>
    <row r="90" spans="1:11" ht="27.75" customHeight="1">
      <c r="A90" s="299" t="s">
        <v>368</v>
      </c>
      <c r="B90" s="291" t="s">
        <v>369</v>
      </c>
      <c r="C90" s="286" t="s">
        <v>237</v>
      </c>
      <c r="D90" s="296">
        <f>10000*0.245</f>
        <v>2450</v>
      </c>
      <c r="E90" s="288"/>
      <c r="F90" s="288"/>
      <c r="G90" s="289">
        <v>2450</v>
      </c>
      <c r="H90" s="290"/>
      <c r="I90" s="288"/>
      <c r="J90" s="288" t="s">
        <v>93</v>
      </c>
      <c r="K90" s="288"/>
    </row>
    <row r="91" spans="1:11" ht="27.75" customHeight="1">
      <c r="A91" s="299" t="s">
        <v>370</v>
      </c>
      <c r="B91" s="293" t="s">
        <v>274</v>
      </c>
      <c r="C91" s="286" t="s">
        <v>237</v>
      </c>
      <c r="D91" s="296">
        <f>43*10-10</f>
        <v>420</v>
      </c>
      <c r="E91" s="288"/>
      <c r="F91" s="288"/>
      <c r="G91" s="289">
        <v>420</v>
      </c>
      <c r="H91" s="290"/>
      <c r="I91" s="288"/>
      <c r="J91" s="288" t="s">
        <v>93</v>
      </c>
      <c r="K91" s="288"/>
    </row>
    <row r="92" spans="1:11" ht="27.75" customHeight="1">
      <c r="A92" s="299" t="s">
        <v>371</v>
      </c>
      <c r="B92" s="293" t="s">
        <v>327</v>
      </c>
      <c r="C92" s="286" t="s">
        <v>237</v>
      </c>
      <c r="D92" s="296">
        <v>3210</v>
      </c>
      <c r="E92" s="288"/>
      <c r="F92" s="288"/>
      <c r="G92" s="289">
        <v>3210</v>
      </c>
      <c r="H92" s="290"/>
      <c r="I92" s="288"/>
      <c r="J92" s="288" t="s">
        <v>93</v>
      </c>
      <c r="K92" s="288"/>
    </row>
    <row r="93" spans="1:11" ht="27.75" customHeight="1">
      <c r="A93" s="286" t="s">
        <v>372</v>
      </c>
      <c r="B93" s="291" t="s">
        <v>373</v>
      </c>
      <c r="C93" s="286" t="s">
        <v>234</v>
      </c>
      <c r="D93" s="294">
        <v>5900</v>
      </c>
      <c r="E93" s="288"/>
      <c r="F93" s="288"/>
      <c r="G93" s="289">
        <v>5900</v>
      </c>
      <c r="H93" s="290"/>
      <c r="I93" s="288"/>
      <c r="J93" s="288" t="s">
        <v>93</v>
      </c>
      <c r="K93" s="288"/>
    </row>
    <row r="94" spans="1:11" ht="27.75" customHeight="1">
      <c r="A94" s="286" t="s">
        <v>374</v>
      </c>
      <c r="B94" s="291" t="s">
        <v>375</v>
      </c>
      <c r="C94" s="286" t="s">
        <v>237</v>
      </c>
      <c r="D94" s="296">
        <f>400/0.8</f>
        <v>500</v>
      </c>
      <c r="E94" s="288"/>
      <c r="F94" s="288"/>
      <c r="G94" s="289">
        <v>500</v>
      </c>
      <c r="H94" s="290"/>
      <c r="I94" s="288"/>
      <c r="J94" s="288" t="s">
        <v>93</v>
      </c>
      <c r="K94" s="288"/>
    </row>
    <row r="95" spans="1:11" ht="27.75" customHeight="1">
      <c r="A95" s="286" t="s">
        <v>376</v>
      </c>
      <c r="B95" s="291" t="s">
        <v>377</v>
      </c>
      <c r="C95" s="286" t="s">
        <v>237</v>
      </c>
      <c r="D95" s="296">
        <v>4954</v>
      </c>
      <c r="E95" s="288"/>
      <c r="F95" s="288"/>
      <c r="G95" s="289">
        <v>4954</v>
      </c>
      <c r="H95" s="290"/>
      <c r="I95" s="288"/>
      <c r="J95" s="288" t="s">
        <v>93</v>
      </c>
      <c r="K95" s="288"/>
    </row>
    <row r="96" spans="1:11" ht="27.75" customHeight="1">
      <c r="A96" s="286" t="s">
        <v>352</v>
      </c>
      <c r="B96" s="293" t="s">
        <v>378</v>
      </c>
      <c r="C96" s="286" t="s">
        <v>237</v>
      </c>
      <c r="D96" s="296">
        <v>450</v>
      </c>
      <c r="E96" s="288"/>
      <c r="F96" s="288"/>
      <c r="G96" s="289">
        <v>450</v>
      </c>
      <c r="H96" s="290"/>
      <c r="I96" s="288"/>
      <c r="J96" s="288" t="s">
        <v>93</v>
      </c>
      <c r="K96" s="288"/>
    </row>
    <row r="97" spans="1:11" ht="27.75" customHeight="1">
      <c r="A97" s="286" t="s">
        <v>379</v>
      </c>
      <c r="B97" s="291" t="s">
        <v>380</v>
      </c>
      <c r="C97" s="286" t="s">
        <v>237</v>
      </c>
      <c r="D97" s="296">
        <v>580</v>
      </c>
      <c r="E97" s="288"/>
      <c r="F97" s="288"/>
      <c r="G97" s="289">
        <v>580</v>
      </c>
      <c r="H97" s="290"/>
      <c r="I97" s="288"/>
      <c r="J97" s="288" t="s">
        <v>93</v>
      </c>
      <c r="K97" s="288"/>
    </row>
    <row r="98" spans="1:11" ht="27.75" customHeight="1">
      <c r="A98" s="286" t="s">
        <v>354</v>
      </c>
      <c r="B98" s="293" t="s">
        <v>355</v>
      </c>
      <c r="C98" s="286" t="s">
        <v>237</v>
      </c>
      <c r="D98" s="296">
        <f>150/0.8</f>
        <v>187.5</v>
      </c>
      <c r="E98" s="288"/>
      <c r="F98" s="288"/>
      <c r="G98" s="289">
        <v>187.5</v>
      </c>
      <c r="H98" s="290"/>
      <c r="I98" s="288"/>
      <c r="J98" s="288" t="s">
        <v>93</v>
      </c>
      <c r="K98" s="288"/>
    </row>
    <row r="99" spans="1:11" ht="46.5" customHeight="1">
      <c r="A99" s="286" t="s">
        <v>381</v>
      </c>
      <c r="B99" s="293" t="s">
        <v>382</v>
      </c>
      <c r="C99" s="286" t="s">
        <v>234</v>
      </c>
      <c r="D99" s="296">
        <f>2160*3</f>
        <v>6480</v>
      </c>
      <c r="E99" s="288"/>
      <c r="F99" s="288"/>
      <c r="G99" s="289">
        <v>6480</v>
      </c>
      <c r="H99" s="290"/>
      <c r="I99" s="288"/>
      <c r="J99" s="288" t="s">
        <v>93</v>
      </c>
      <c r="K99" s="288"/>
    </row>
    <row r="100" spans="1:11" ht="27.75" customHeight="1">
      <c r="A100" s="286" t="s">
        <v>335</v>
      </c>
      <c r="B100" s="291" t="s">
        <v>336</v>
      </c>
      <c r="C100" s="286" t="s">
        <v>237</v>
      </c>
      <c r="D100" s="296">
        <f>10+2*9.7</f>
        <v>29.4</v>
      </c>
      <c r="E100" s="288"/>
      <c r="F100" s="288"/>
      <c r="G100" s="289">
        <v>29.4</v>
      </c>
      <c r="H100" s="290"/>
      <c r="I100" s="288"/>
      <c r="J100" s="288" t="s">
        <v>93</v>
      </c>
      <c r="K100" s="288"/>
    </row>
    <row r="101" spans="1:11" ht="27.75" customHeight="1">
      <c r="A101" s="286" t="s">
        <v>383</v>
      </c>
      <c r="B101" s="291" t="s">
        <v>384</v>
      </c>
      <c r="C101" s="286" t="s">
        <v>234</v>
      </c>
      <c r="D101" s="296">
        <f>1130*9.93</f>
        <v>11220.9</v>
      </c>
      <c r="E101" s="288"/>
      <c r="F101" s="288"/>
      <c r="G101" s="289">
        <v>3048.2300000000005</v>
      </c>
      <c r="H101" s="290"/>
      <c r="I101" s="288"/>
      <c r="J101" s="288" t="s">
        <v>93</v>
      </c>
      <c r="K101" s="288"/>
    </row>
    <row r="102" spans="1:11" ht="27.75" customHeight="1">
      <c r="A102" s="299" t="s">
        <v>370</v>
      </c>
      <c r="B102" s="293" t="s">
        <v>274</v>
      </c>
      <c r="C102" s="286" t="s">
        <v>237</v>
      </c>
      <c r="D102" s="296">
        <f>40*10</f>
        <v>400</v>
      </c>
      <c r="E102" s="288"/>
      <c r="F102" s="288"/>
      <c r="G102" s="289">
        <v>400</v>
      </c>
      <c r="H102" s="290"/>
      <c r="I102" s="288"/>
      <c r="J102" s="288" t="s">
        <v>93</v>
      </c>
      <c r="K102" s="288"/>
    </row>
    <row r="103" spans="1:11" ht="27.75" customHeight="1">
      <c r="A103" s="299" t="s">
        <v>385</v>
      </c>
      <c r="B103" s="293" t="s">
        <v>386</v>
      </c>
      <c r="C103" s="286" t="s">
        <v>237</v>
      </c>
      <c r="D103" s="296">
        <f>9.75*18</f>
        <v>175.5</v>
      </c>
      <c r="E103" s="288"/>
      <c r="F103" s="288"/>
      <c r="G103" s="289">
        <v>175.5</v>
      </c>
      <c r="H103" s="290"/>
      <c r="I103" s="288"/>
      <c r="J103" s="288" t="s">
        <v>93</v>
      </c>
      <c r="K103" s="288"/>
    </row>
    <row r="104" spans="1:11" ht="27.75" customHeight="1">
      <c r="A104" s="299" t="s">
        <v>387</v>
      </c>
      <c r="B104" s="286" t="s">
        <v>388</v>
      </c>
      <c r="C104" s="286" t="s">
        <v>237</v>
      </c>
      <c r="D104" s="296">
        <f>100*4.5</f>
        <v>450</v>
      </c>
      <c r="E104" s="288"/>
      <c r="F104" s="288"/>
      <c r="G104" s="289">
        <v>450</v>
      </c>
      <c r="H104" s="290"/>
      <c r="I104" s="288"/>
      <c r="J104" s="288" t="s">
        <v>93</v>
      </c>
      <c r="K104" s="288"/>
    </row>
    <row r="105" spans="1:11" ht="27.75" customHeight="1">
      <c r="A105" s="299" t="s">
        <v>385</v>
      </c>
      <c r="B105" s="293" t="s">
        <v>386</v>
      </c>
      <c r="C105" s="286" t="s">
        <v>237</v>
      </c>
      <c r="D105" s="296">
        <f>9.75*35</f>
        <v>341.25</v>
      </c>
      <c r="E105" s="288"/>
      <c r="F105" s="288"/>
      <c r="G105" s="289">
        <v>341.25</v>
      </c>
      <c r="H105" s="290"/>
      <c r="I105" s="288"/>
      <c r="J105" s="288" t="s">
        <v>93</v>
      </c>
      <c r="K105" s="288"/>
    </row>
    <row r="106" spans="1:11" ht="27.75" customHeight="1">
      <c r="A106" s="286" t="s">
        <v>389</v>
      </c>
      <c r="B106" s="293" t="s">
        <v>390</v>
      </c>
      <c r="C106" s="286" t="s">
        <v>237</v>
      </c>
      <c r="D106" s="296">
        <v>150</v>
      </c>
      <c r="E106" s="288"/>
      <c r="F106" s="288"/>
      <c r="G106" s="289">
        <v>150</v>
      </c>
      <c r="H106" s="290"/>
      <c r="I106" s="288"/>
      <c r="J106" s="288" t="s">
        <v>93</v>
      </c>
      <c r="K106" s="288"/>
    </row>
    <row r="107" spans="1:11" ht="27.75" customHeight="1">
      <c r="A107" s="286" t="s">
        <v>391</v>
      </c>
      <c r="B107" s="286" t="s">
        <v>392</v>
      </c>
      <c r="C107" s="286" t="s">
        <v>237</v>
      </c>
      <c r="D107" s="296">
        <f>460*5</f>
        <v>2300</v>
      </c>
      <c r="E107" s="288"/>
      <c r="F107" s="288"/>
      <c r="G107" s="289">
        <v>2300</v>
      </c>
      <c r="H107" s="290"/>
      <c r="I107" s="288"/>
      <c r="J107" s="288" t="s">
        <v>93</v>
      </c>
      <c r="K107" s="288"/>
    </row>
    <row r="108" spans="1:11" ht="27.75" customHeight="1">
      <c r="A108" s="286" t="s">
        <v>393</v>
      </c>
      <c r="B108" s="293" t="s">
        <v>394</v>
      </c>
      <c r="C108" s="286" t="s">
        <v>237</v>
      </c>
      <c r="D108" s="296">
        <v>50</v>
      </c>
      <c r="E108" s="288"/>
      <c r="F108" s="288"/>
      <c r="G108" s="289">
        <v>50</v>
      </c>
      <c r="H108" s="290"/>
      <c r="I108" s="288"/>
      <c r="J108" s="288" t="s">
        <v>93</v>
      </c>
      <c r="K108" s="288"/>
    </row>
    <row r="109" spans="1:11" ht="27.75" customHeight="1">
      <c r="A109" s="286" t="s">
        <v>368</v>
      </c>
      <c r="B109" s="291" t="s">
        <v>395</v>
      </c>
      <c r="C109" s="286" t="s">
        <v>237</v>
      </c>
      <c r="D109" s="296">
        <f>5100*0.245</f>
        <v>1249.5</v>
      </c>
      <c r="E109" s="288"/>
      <c r="F109" s="288"/>
      <c r="G109" s="289">
        <v>1249.5</v>
      </c>
      <c r="H109" s="290"/>
      <c r="I109" s="288"/>
      <c r="J109" s="288" t="s">
        <v>93</v>
      </c>
      <c r="K109" s="288"/>
    </row>
    <row r="110" spans="1:11" ht="27.75" customHeight="1">
      <c r="A110" s="299" t="s">
        <v>396</v>
      </c>
      <c r="B110" s="293" t="s">
        <v>397</v>
      </c>
      <c r="C110" s="286" t="s">
        <v>237</v>
      </c>
      <c r="D110" s="296">
        <v>155</v>
      </c>
      <c r="E110" s="288"/>
      <c r="F110" s="288"/>
      <c r="G110" s="289">
        <v>155</v>
      </c>
      <c r="H110" s="290"/>
      <c r="I110" s="288"/>
      <c r="J110" s="288" t="s">
        <v>93</v>
      </c>
      <c r="K110" s="288"/>
    </row>
    <row r="111" spans="1:11" ht="27.75" customHeight="1">
      <c r="A111" s="299" t="s">
        <v>398</v>
      </c>
      <c r="B111" s="293" t="s">
        <v>399</v>
      </c>
      <c r="C111" s="286" t="s">
        <v>237</v>
      </c>
      <c r="D111" s="296">
        <f>7*5</f>
        <v>35</v>
      </c>
      <c r="E111" s="288"/>
      <c r="F111" s="288"/>
      <c r="G111" s="289">
        <v>35</v>
      </c>
      <c r="H111" s="290"/>
      <c r="I111" s="288"/>
      <c r="J111" s="288" t="s">
        <v>93</v>
      </c>
      <c r="K111" s="288"/>
    </row>
    <row r="112" spans="1:11" ht="27.75" customHeight="1">
      <c r="A112" s="299" t="s">
        <v>385</v>
      </c>
      <c r="B112" s="293" t="s">
        <v>400</v>
      </c>
      <c r="C112" s="286" t="s">
        <v>237</v>
      </c>
      <c r="D112" s="296">
        <f>12*9.75</f>
        <v>117</v>
      </c>
      <c r="E112" s="288"/>
      <c r="F112" s="288"/>
      <c r="G112" s="289">
        <v>117</v>
      </c>
      <c r="H112" s="290"/>
      <c r="I112" s="288"/>
      <c r="J112" s="288" t="s">
        <v>93</v>
      </c>
      <c r="K112" s="288"/>
    </row>
    <row r="113" spans="1:11" ht="27.75" customHeight="1">
      <c r="A113" s="286" t="s">
        <v>354</v>
      </c>
      <c r="B113" s="293" t="s">
        <v>355</v>
      </c>
      <c r="C113" s="286" t="s">
        <v>237</v>
      </c>
      <c r="D113" s="296">
        <f>150/0.8</f>
        <v>187.5</v>
      </c>
      <c r="E113" s="288"/>
      <c r="F113" s="288"/>
      <c r="G113" s="289">
        <v>187.5</v>
      </c>
      <c r="H113" s="290"/>
      <c r="I113" s="288"/>
      <c r="J113" s="288" t="s">
        <v>93</v>
      </c>
      <c r="K113" s="288"/>
    </row>
    <row r="114" spans="1:11" ht="27.75" customHeight="1">
      <c r="A114" s="286" t="s">
        <v>401</v>
      </c>
      <c r="B114" s="291" t="s">
        <v>402</v>
      </c>
      <c r="C114" s="286" t="s">
        <v>237</v>
      </c>
      <c r="D114" s="296">
        <f>30*8</f>
        <v>240</v>
      </c>
      <c r="E114" s="288"/>
      <c r="F114" s="288"/>
      <c r="G114" s="289">
        <v>240</v>
      </c>
      <c r="H114" s="290"/>
      <c r="I114" s="288"/>
      <c r="J114" s="288" t="s">
        <v>93</v>
      </c>
      <c r="K114" s="288"/>
    </row>
    <row r="115" spans="1:11" ht="49.5" customHeight="1">
      <c r="A115" s="286" t="s">
        <v>403</v>
      </c>
      <c r="B115" s="286" t="s">
        <v>404</v>
      </c>
      <c r="C115" s="286" t="s">
        <v>237</v>
      </c>
      <c r="D115" s="301">
        <f>1000*2.725</f>
        <v>2725</v>
      </c>
      <c r="E115" s="288"/>
      <c r="F115" s="288"/>
      <c r="G115" s="289">
        <v>2725</v>
      </c>
      <c r="H115" s="290"/>
      <c r="I115" s="288"/>
      <c r="J115" s="288" t="s">
        <v>93</v>
      </c>
      <c r="K115" s="288"/>
    </row>
    <row r="116" spans="1:11" ht="45.75" customHeight="1">
      <c r="A116" s="286" t="s">
        <v>405</v>
      </c>
      <c r="B116" s="286" t="s">
        <v>406</v>
      </c>
      <c r="C116" s="286" t="s">
        <v>407</v>
      </c>
      <c r="D116" s="296">
        <f>2*20</f>
        <v>40</v>
      </c>
      <c r="E116" s="288"/>
      <c r="F116" s="288"/>
      <c r="G116" s="289">
        <v>40</v>
      </c>
      <c r="H116" s="290"/>
      <c r="I116" s="288"/>
      <c r="J116" s="288" t="s">
        <v>93</v>
      </c>
      <c r="K116" s="288"/>
    </row>
    <row r="117" spans="1:11" ht="27.75" customHeight="1">
      <c r="A117" s="286" t="s">
        <v>408</v>
      </c>
      <c r="B117" s="286" t="s">
        <v>409</v>
      </c>
      <c r="C117" s="286" t="s">
        <v>237</v>
      </c>
      <c r="D117" s="296">
        <v>24.5</v>
      </c>
      <c r="E117" s="288"/>
      <c r="F117" s="288"/>
      <c r="G117" s="289">
        <v>24.5</v>
      </c>
      <c r="H117" s="290"/>
      <c r="I117" s="288"/>
      <c r="J117" s="288" t="s">
        <v>93</v>
      </c>
      <c r="K117" s="288"/>
    </row>
    <row r="118" spans="1:11" ht="27.75" customHeight="1">
      <c r="A118" s="286" t="s">
        <v>410</v>
      </c>
      <c r="B118" s="286" t="s">
        <v>411</v>
      </c>
      <c r="C118" s="286" t="s">
        <v>237</v>
      </c>
      <c r="D118" s="296">
        <v>174</v>
      </c>
      <c r="E118" s="288"/>
      <c r="F118" s="288"/>
      <c r="G118" s="289">
        <v>174</v>
      </c>
      <c r="H118" s="290"/>
      <c r="I118" s="288"/>
      <c r="J118" s="288" t="s">
        <v>93</v>
      </c>
      <c r="K118" s="288"/>
    </row>
    <row r="119" spans="1:11" ht="27.75" customHeight="1">
      <c r="A119" s="286" t="s">
        <v>412</v>
      </c>
      <c r="B119" s="293" t="s">
        <v>413</v>
      </c>
      <c r="C119" s="286" t="s">
        <v>237</v>
      </c>
      <c r="D119" s="296">
        <f>960*1.75</f>
        <v>1680</v>
      </c>
      <c r="E119" s="288"/>
      <c r="F119" s="288"/>
      <c r="G119" s="289">
        <v>1680</v>
      </c>
      <c r="H119" s="290"/>
      <c r="I119" s="288"/>
      <c r="J119" s="288" t="s">
        <v>93</v>
      </c>
      <c r="K119" s="288"/>
    </row>
    <row r="120" spans="1:11" ht="27.75" customHeight="1">
      <c r="A120" s="286" t="s">
        <v>414</v>
      </c>
      <c r="B120" s="293" t="s">
        <v>415</v>
      </c>
      <c r="C120" s="286" t="s">
        <v>237</v>
      </c>
      <c r="D120" s="296">
        <v>373.54</v>
      </c>
      <c r="E120" s="288"/>
      <c r="F120" s="288"/>
      <c r="G120" s="289">
        <v>373.54</v>
      </c>
      <c r="H120" s="290"/>
      <c r="I120" s="288"/>
      <c r="J120" s="288" t="s">
        <v>93</v>
      </c>
      <c r="K120" s="288"/>
    </row>
    <row r="121" spans="1:11" ht="27.75" customHeight="1">
      <c r="A121" s="302" t="s">
        <v>416</v>
      </c>
      <c r="B121" s="302"/>
      <c r="C121" s="302"/>
      <c r="D121" s="287">
        <f>SUM(D5:D120)</f>
        <v>322720.53</v>
      </c>
      <c r="E121" s="303"/>
      <c r="F121" s="304"/>
      <c r="G121" s="287">
        <f>SUM(G5:G120)</f>
        <v>289038.04</v>
      </c>
      <c r="H121" s="305"/>
      <c r="I121" s="306"/>
      <c r="J121" s="306"/>
      <c r="K121" s="307"/>
    </row>
    <row r="122" spans="1:11" ht="39.75" customHeight="1">
      <c r="A122" s="286" t="s">
        <v>417</v>
      </c>
      <c r="B122" s="293" t="s">
        <v>418</v>
      </c>
      <c r="C122" s="286" t="s">
        <v>234</v>
      </c>
      <c r="D122" s="301">
        <v>600</v>
      </c>
      <c r="E122" s="288"/>
      <c r="F122" s="288"/>
      <c r="G122" s="289">
        <v>0</v>
      </c>
      <c r="H122" s="290"/>
      <c r="I122" s="288"/>
      <c r="J122" s="288" t="s">
        <v>144</v>
      </c>
      <c r="K122" s="288"/>
    </row>
    <row r="123" spans="1:11" ht="48" customHeight="1">
      <c r="A123" s="286" t="s">
        <v>419</v>
      </c>
      <c r="B123" s="286" t="s">
        <v>420</v>
      </c>
      <c r="C123" s="286" t="s">
        <v>334</v>
      </c>
      <c r="D123" s="308">
        <f>4537.63</f>
        <v>4537.63</v>
      </c>
      <c r="E123" s="288"/>
      <c r="F123" s="288"/>
      <c r="G123" s="289">
        <v>1451.25</v>
      </c>
      <c r="H123" s="290"/>
      <c r="I123" s="288"/>
      <c r="J123" s="288" t="s">
        <v>144</v>
      </c>
      <c r="K123" s="288"/>
    </row>
    <row r="124" spans="1:11" ht="39" customHeight="1">
      <c r="A124" s="300" t="s">
        <v>419</v>
      </c>
      <c r="B124" s="286" t="s">
        <v>421</v>
      </c>
      <c r="C124" s="286" t="s">
        <v>334</v>
      </c>
      <c r="D124" s="301">
        <f>2475.8+1578.42</f>
        <v>4054.2200000000003</v>
      </c>
      <c r="E124" s="288"/>
      <c r="F124" s="288"/>
      <c r="G124" s="289">
        <v>926.77</v>
      </c>
      <c r="H124" s="290"/>
      <c r="I124" s="288"/>
      <c r="J124" s="288" t="s">
        <v>144</v>
      </c>
      <c r="K124" s="288"/>
    </row>
    <row r="125" spans="1:11" ht="27.75" customHeight="1">
      <c r="A125" s="286" t="s">
        <v>219</v>
      </c>
      <c r="B125" s="286" t="s">
        <v>220</v>
      </c>
      <c r="C125" s="286" t="s">
        <v>422</v>
      </c>
      <c r="D125" s="308">
        <f>51622.5+8349.84+8959.67+19355.65-500-430.94</f>
        <v>87356.72</v>
      </c>
      <c r="E125" s="288"/>
      <c r="F125" s="288"/>
      <c r="G125" s="289">
        <v>80796.87</v>
      </c>
      <c r="H125" s="290"/>
      <c r="I125" s="288"/>
      <c r="J125" s="288" t="s">
        <v>144</v>
      </c>
      <c r="K125" s="288"/>
    </row>
    <row r="126" spans="1:11" ht="27.75" customHeight="1">
      <c r="A126" s="291" t="s">
        <v>423</v>
      </c>
      <c r="B126" s="309" t="s">
        <v>424</v>
      </c>
      <c r="C126" s="286" t="s">
        <v>425</v>
      </c>
      <c r="D126" s="308">
        <v>5193.54</v>
      </c>
      <c r="E126" s="288"/>
      <c r="F126" s="288"/>
      <c r="G126" s="289">
        <v>5193.54</v>
      </c>
      <c r="H126" s="290"/>
      <c r="I126" s="288"/>
      <c r="J126" s="288" t="s">
        <v>144</v>
      </c>
      <c r="K126" s="288"/>
    </row>
    <row r="127" spans="1:11" ht="27.75" customHeight="1">
      <c r="A127" s="286" t="s">
        <v>426</v>
      </c>
      <c r="B127" s="309" t="s">
        <v>427</v>
      </c>
      <c r="C127" s="286" t="s">
        <v>428</v>
      </c>
      <c r="D127" s="301">
        <v>3000</v>
      </c>
      <c r="E127" s="288"/>
      <c r="F127" s="288"/>
      <c r="G127" s="289">
        <v>3000</v>
      </c>
      <c r="H127" s="290"/>
      <c r="I127" s="288"/>
      <c r="J127" s="288" t="s">
        <v>144</v>
      </c>
      <c r="K127" s="288"/>
    </row>
    <row r="128" spans="1:11" ht="27.75" customHeight="1">
      <c r="A128" s="286" t="s">
        <v>429</v>
      </c>
      <c r="B128" s="309" t="s">
        <v>430</v>
      </c>
      <c r="C128" s="286" t="s">
        <v>431</v>
      </c>
      <c r="D128" s="308">
        <v>36491.4</v>
      </c>
      <c r="E128" s="288"/>
      <c r="F128" s="288"/>
      <c r="G128" s="289">
        <v>36491.4</v>
      </c>
      <c r="H128" s="290"/>
      <c r="I128" s="288"/>
      <c r="J128" s="288" t="s">
        <v>144</v>
      </c>
      <c r="K128" s="288"/>
    </row>
    <row r="129" spans="1:11" ht="27.75" customHeight="1">
      <c r="A129" s="291" t="s">
        <v>432</v>
      </c>
      <c r="B129" s="291" t="s">
        <v>433</v>
      </c>
      <c r="C129" s="286" t="s">
        <v>227</v>
      </c>
      <c r="D129" s="292">
        <v>717</v>
      </c>
      <c r="E129" s="288"/>
      <c r="F129" s="288"/>
      <c r="G129" s="289">
        <v>717</v>
      </c>
      <c r="H129" s="290"/>
      <c r="I129" s="288"/>
      <c r="J129" s="288" t="s">
        <v>144</v>
      </c>
      <c r="K129" s="288"/>
    </row>
    <row r="130" spans="1:11" ht="50.25" customHeight="1">
      <c r="A130" s="291" t="s">
        <v>434</v>
      </c>
      <c r="B130" s="291" t="s">
        <v>435</v>
      </c>
      <c r="C130" s="286" t="s">
        <v>227</v>
      </c>
      <c r="D130" s="292">
        <v>532.76</v>
      </c>
      <c r="E130" s="288"/>
      <c r="F130" s="288"/>
      <c r="G130" s="289">
        <v>532.76</v>
      </c>
      <c r="H130" s="290"/>
      <c r="I130" s="288"/>
      <c r="J130" s="288" t="s">
        <v>144</v>
      </c>
      <c r="K130" s="288"/>
    </row>
    <row r="131" spans="1:11" ht="48" customHeight="1">
      <c r="A131" s="291" t="s">
        <v>436</v>
      </c>
      <c r="B131" s="291" t="s">
        <v>437</v>
      </c>
      <c r="C131" s="286" t="s">
        <v>227</v>
      </c>
      <c r="D131" s="292">
        <v>1210</v>
      </c>
      <c r="E131" s="288"/>
      <c r="F131" s="288"/>
      <c r="G131" s="289">
        <v>1210</v>
      </c>
      <c r="H131" s="290"/>
      <c r="I131" s="288"/>
      <c r="J131" s="288" t="s">
        <v>144</v>
      </c>
      <c r="K131" s="288"/>
    </row>
    <row r="132" spans="1:11" ht="27.75" customHeight="1">
      <c r="A132" s="291" t="s">
        <v>248</v>
      </c>
      <c r="B132" s="291" t="s">
        <v>438</v>
      </c>
      <c r="C132" s="286" t="s">
        <v>227</v>
      </c>
      <c r="D132" s="292">
        <v>106.8</v>
      </c>
      <c r="E132" s="288"/>
      <c r="F132" s="288"/>
      <c r="G132" s="289">
        <v>106.8</v>
      </c>
      <c r="H132" s="290"/>
      <c r="I132" s="288"/>
      <c r="J132" s="288" t="s">
        <v>144</v>
      </c>
      <c r="K132" s="288"/>
    </row>
    <row r="133" spans="1:11" ht="27.75" customHeight="1">
      <c r="A133" s="291" t="s">
        <v>439</v>
      </c>
      <c r="B133" s="291" t="s">
        <v>440</v>
      </c>
      <c r="C133" s="286" t="s">
        <v>227</v>
      </c>
      <c r="D133" s="292">
        <v>310.42</v>
      </c>
      <c r="E133" s="288"/>
      <c r="F133" s="288"/>
      <c r="G133" s="289">
        <v>310.42</v>
      </c>
      <c r="H133" s="290"/>
      <c r="I133" s="288"/>
      <c r="J133" s="288" t="s">
        <v>144</v>
      </c>
      <c r="K133" s="288"/>
    </row>
    <row r="134" spans="1:11" ht="27.75" customHeight="1">
      <c r="A134" s="286" t="s">
        <v>441</v>
      </c>
      <c r="B134" s="286" t="s">
        <v>442</v>
      </c>
      <c r="C134" s="286" t="s">
        <v>443</v>
      </c>
      <c r="D134" s="301">
        <f>12*4881</f>
        <v>58572</v>
      </c>
      <c r="E134" s="288"/>
      <c r="F134" s="288"/>
      <c r="G134" s="289">
        <v>58572</v>
      </c>
      <c r="H134" s="290"/>
      <c r="I134" s="288"/>
      <c r="J134" s="288" t="s">
        <v>144</v>
      </c>
      <c r="K134" s="288"/>
    </row>
    <row r="135" spans="1:11" ht="27.75" customHeight="1">
      <c r="A135" s="286" t="s">
        <v>444</v>
      </c>
      <c r="B135" s="286" t="s">
        <v>445</v>
      </c>
      <c r="C135" s="286" t="s">
        <v>446</v>
      </c>
      <c r="D135" s="301">
        <f>(4160+3960+5080)*1.47+19404*10%</f>
        <v>21344.4</v>
      </c>
      <c r="E135" s="288"/>
      <c r="F135" s="288"/>
      <c r="G135" s="289">
        <v>20415.11</v>
      </c>
      <c r="H135" s="290"/>
      <c r="I135" s="288"/>
      <c r="J135" s="288" t="s">
        <v>144</v>
      </c>
      <c r="K135" s="288"/>
    </row>
    <row r="136" spans="1:11" ht="36.75" customHeight="1">
      <c r="A136" s="286" t="s">
        <v>444</v>
      </c>
      <c r="B136" s="286" t="s">
        <v>447</v>
      </c>
      <c r="C136" s="286" t="s">
        <v>446</v>
      </c>
      <c r="D136" s="301">
        <f>200*2*12*1.43+(4440+960)*1.43+3000*1.43</f>
        <v>18876</v>
      </c>
      <c r="E136" s="288"/>
      <c r="F136" s="288"/>
      <c r="G136" s="289">
        <v>17747.91</v>
      </c>
      <c r="H136" s="290"/>
      <c r="I136" s="288"/>
      <c r="J136" s="288" t="s">
        <v>144</v>
      </c>
      <c r="K136" s="288"/>
    </row>
    <row r="137" spans="1:11" ht="46.5" customHeight="1">
      <c r="A137" s="286" t="s">
        <v>448</v>
      </c>
      <c r="B137" s="286" t="s">
        <v>449</v>
      </c>
      <c r="C137" s="286" t="s">
        <v>450</v>
      </c>
      <c r="D137" s="301">
        <f>833.3333333*12</f>
        <v>9999.9999996</v>
      </c>
      <c r="E137" s="288"/>
      <c r="F137" s="288"/>
      <c r="G137" s="289">
        <v>9999.93</v>
      </c>
      <c r="H137" s="290"/>
      <c r="I137" s="288"/>
      <c r="J137" s="288" t="s">
        <v>144</v>
      </c>
      <c r="K137" s="288"/>
    </row>
    <row r="138" spans="1:11" ht="27.75" customHeight="1">
      <c r="A138" s="286" t="s">
        <v>451</v>
      </c>
      <c r="B138" s="286" t="s">
        <v>452</v>
      </c>
      <c r="C138" s="286" t="s">
        <v>453</v>
      </c>
      <c r="D138" s="301">
        <f>1*50</f>
        <v>50</v>
      </c>
      <c r="E138" s="288"/>
      <c r="F138" s="288"/>
      <c r="G138" s="289">
        <v>50</v>
      </c>
      <c r="H138" s="290"/>
      <c r="I138" s="288"/>
      <c r="J138" s="288" t="s">
        <v>144</v>
      </c>
      <c r="K138" s="288"/>
    </row>
    <row r="139" spans="1:11" ht="27.75" customHeight="1">
      <c r="A139" s="286" t="s">
        <v>454</v>
      </c>
      <c r="B139" s="286" t="s">
        <v>455</v>
      </c>
      <c r="C139" s="286" t="s">
        <v>237</v>
      </c>
      <c r="D139" s="301">
        <v>69</v>
      </c>
      <c r="E139" s="288"/>
      <c r="F139" s="288"/>
      <c r="G139" s="289">
        <v>69</v>
      </c>
      <c r="H139" s="290"/>
      <c r="I139" s="288"/>
      <c r="J139" s="288" t="s">
        <v>144</v>
      </c>
      <c r="K139" s="288"/>
    </row>
    <row r="140" spans="1:11" ht="39" customHeight="1">
      <c r="A140" s="286" t="s">
        <v>456</v>
      </c>
      <c r="B140" s="286" t="s">
        <v>457</v>
      </c>
      <c r="C140" s="286" t="s">
        <v>237</v>
      </c>
      <c r="D140" s="301">
        <v>50</v>
      </c>
      <c r="E140" s="288"/>
      <c r="F140" s="288"/>
      <c r="G140" s="289">
        <v>50</v>
      </c>
      <c r="H140" s="290"/>
      <c r="I140" s="288"/>
      <c r="J140" s="288" t="s">
        <v>144</v>
      </c>
      <c r="K140" s="288"/>
    </row>
    <row r="141" spans="1:11" ht="41.25" customHeight="1">
      <c r="A141" s="286" t="s">
        <v>419</v>
      </c>
      <c r="B141" s="286" t="s">
        <v>458</v>
      </c>
      <c r="C141" s="286" t="s">
        <v>334</v>
      </c>
      <c r="D141" s="301">
        <v>720</v>
      </c>
      <c r="E141" s="288"/>
      <c r="F141" s="288"/>
      <c r="G141" s="289">
        <v>718.3</v>
      </c>
      <c r="H141" s="290"/>
      <c r="I141" s="288"/>
      <c r="J141" s="288" t="s">
        <v>144</v>
      </c>
      <c r="K141" s="288"/>
    </row>
    <row r="142" spans="1:11" ht="42.75" customHeight="1">
      <c r="A142" s="286" t="s">
        <v>459</v>
      </c>
      <c r="B142" s="286" t="s">
        <v>460</v>
      </c>
      <c r="C142" s="286" t="s">
        <v>334</v>
      </c>
      <c r="D142" s="301">
        <f>5000</f>
        <v>5000</v>
      </c>
      <c r="E142" s="288"/>
      <c r="F142" s="288"/>
      <c r="G142" s="289">
        <v>4898</v>
      </c>
      <c r="H142" s="290"/>
      <c r="I142" s="288"/>
      <c r="J142" s="288" t="s">
        <v>144</v>
      </c>
      <c r="K142" s="288"/>
    </row>
    <row r="143" spans="1:11" ht="27.75" customHeight="1">
      <c r="A143" s="286" t="s">
        <v>225</v>
      </c>
      <c r="B143" s="291" t="s">
        <v>461</v>
      </c>
      <c r="C143" s="286" t="s">
        <v>234</v>
      </c>
      <c r="D143" s="301">
        <f>4153*2.93+3022*9</f>
        <v>39366.29</v>
      </c>
      <c r="E143" s="288"/>
      <c r="F143" s="288"/>
      <c r="G143" s="289">
        <v>39366.26</v>
      </c>
      <c r="H143" s="290"/>
      <c r="I143" s="288"/>
      <c r="J143" s="288" t="s">
        <v>144</v>
      </c>
      <c r="K143" s="288"/>
    </row>
    <row r="144" spans="1:11" ht="27.75" customHeight="1">
      <c r="A144" s="293" t="s">
        <v>462</v>
      </c>
      <c r="B144" s="291" t="s">
        <v>463</v>
      </c>
      <c r="C144" s="286" t="s">
        <v>234</v>
      </c>
      <c r="D144" s="301">
        <v>3300</v>
      </c>
      <c r="E144" s="288"/>
      <c r="F144" s="288"/>
      <c r="G144" s="289">
        <v>3300</v>
      </c>
      <c r="H144" s="290"/>
      <c r="I144" s="288"/>
      <c r="J144" s="288" t="s">
        <v>144</v>
      </c>
      <c r="K144" s="288"/>
    </row>
    <row r="145" spans="1:11" ht="27.75" customHeight="1">
      <c r="A145" s="286" t="s">
        <v>464</v>
      </c>
      <c r="B145" s="286" t="s">
        <v>465</v>
      </c>
      <c r="C145" s="286" t="s">
        <v>237</v>
      </c>
      <c r="D145" s="301">
        <v>366</v>
      </c>
      <c r="E145" s="288"/>
      <c r="F145" s="288"/>
      <c r="G145" s="289">
        <v>366</v>
      </c>
      <c r="H145" s="290"/>
      <c r="I145" s="288"/>
      <c r="J145" s="288" t="s">
        <v>144</v>
      </c>
      <c r="K145" s="288"/>
    </row>
    <row r="146" spans="1:11" ht="27.75" customHeight="1">
      <c r="A146" s="286" t="s">
        <v>466</v>
      </c>
      <c r="B146" s="291" t="s">
        <v>467</v>
      </c>
      <c r="C146" s="286" t="s">
        <v>234</v>
      </c>
      <c r="D146" s="301">
        <v>24440</v>
      </c>
      <c r="E146" s="288"/>
      <c r="F146" s="288"/>
      <c r="G146" s="289">
        <v>19115.45</v>
      </c>
      <c r="H146" s="290"/>
      <c r="I146" s="288"/>
      <c r="J146" s="288" t="s">
        <v>144</v>
      </c>
      <c r="K146" s="288"/>
    </row>
    <row r="147" spans="1:11" ht="43.5" customHeight="1">
      <c r="A147" s="286" t="s">
        <v>468</v>
      </c>
      <c r="B147" s="286" t="s">
        <v>469</v>
      </c>
      <c r="C147" s="286" t="s">
        <v>407</v>
      </c>
      <c r="D147" s="301">
        <v>500</v>
      </c>
      <c r="E147" s="288"/>
      <c r="F147" s="288"/>
      <c r="G147" s="289">
        <v>70</v>
      </c>
      <c r="H147" s="290"/>
      <c r="I147" s="288"/>
      <c r="J147" s="288" t="s">
        <v>144</v>
      </c>
      <c r="K147" s="288"/>
    </row>
    <row r="148" spans="1:11" ht="40.5" customHeight="1">
      <c r="A148" s="300" t="s">
        <v>419</v>
      </c>
      <c r="B148" s="286" t="s">
        <v>470</v>
      </c>
      <c r="C148" s="286" t="s">
        <v>334</v>
      </c>
      <c r="D148" s="301">
        <v>4000</v>
      </c>
      <c r="E148" s="288"/>
      <c r="F148" s="288"/>
      <c r="G148" s="289">
        <v>1009</v>
      </c>
      <c r="H148" s="290"/>
      <c r="I148" s="288"/>
      <c r="J148" s="288" t="s">
        <v>144</v>
      </c>
      <c r="K148" s="288"/>
    </row>
    <row r="149" spans="1:11" ht="27.75" customHeight="1">
      <c r="A149" s="286" t="s">
        <v>451</v>
      </c>
      <c r="B149" s="286" t="s">
        <v>471</v>
      </c>
      <c r="C149" s="286" t="s">
        <v>453</v>
      </c>
      <c r="D149" s="301">
        <f>1*50</f>
        <v>50</v>
      </c>
      <c r="E149" s="288"/>
      <c r="F149" s="288"/>
      <c r="G149" s="289">
        <v>50</v>
      </c>
      <c r="H149" s="290"/>
      <c r="I149" s="288"/>
      <c r="J149" s="288" t="s">
        <v>144</v>
      </c>
      <c r="K149" s="288"/>
    </row>
    <row r="150" spans="1:11" ht="27.75" customHeight="1">
      <c r="A150" s="286" t="s">
        <v>472</v>
      </c>
      <c r="B150" s="286" t="s">
        <v>473</v>
      </c>
      <c r="C150" s="286" t="s">
        <v>453</v>
      </c>
      <c r="D150" s="301">
        <v>204</v>
      </c>
      <c r="E150" s="288"/>
      <c r="F150" s="288"/>
      <c r="G150" s="289">
        <v>204</v>
      </c>
      <c r="H150" s="290"/>
      <c r="I150" s="288"/>
      <c r="J150" s="288" t="s">
        <v>144</v>
      </c>
      <c r="K150" s="288"/>
    </row>
    <row r="151" spans="1:11" ht="27.75" customHeight="1">
      <c r="A151" s="286" t="s">
        <v>462</v>
      </c>
      <c r="B151" s="286" t="s">
        <v>474</v>
      </c>
      <c r="C151" s="286" t="s">
        <v>234</v>
      </c>
      <c r="D151" s="301">
        <v>48343</v>
      </c>
      <c r="E151" s="288"/>
      <c r="F151" s="288"/>
      <c r="G151" s="289">
        <v>43329.57000000001</v>
      </c>
      <c r="H151" s="290"/>
      <c r="I151" s="288"/>
      <c r="J151" s="288" t="s">
        <v>144</v>
      </c>
      <c r="K151" s="288"/>
    </row>
    <row r="152" spans="1:11" ht="27.75" customHeight="1">
      <c r="A152" s="286" t="s">
        <v>475</v>
      </c>
      <c r="B152" s="286" t="s">
        <v>476</v>
      </c>
      <c r="C152" s="286" t="s">
        <v>234</v>
      </c>
      <c r="D152" s="292">
        <f>57530+2745</f>
        <v>60275</v>
      </c>
      <c r="E152" s="288"/>
      <c r="F152" s="288"/>
      <c r="G152" s="289">
        <v>59100.8</v>
      </c>
      <c r="H152" s="290"/>
      <c r="I152" s="288"/>
      <c r="J152" s="288" t="s">
        <v>144</v>
      </c>
      <c r="K152" s="288"/>
    </row>
    <row r="153" spans="1:11" ht="27.75" customHeight="1">
      <c r="A153" s="286" t="s">
        <v>475</v>
      </c>
      <c r="B153" s="286" t="s">
        <v>477</v>
      </c>
      <c r="C153" s="286" t="s">
        <v>234</v>
      </c>
      <c r="D153" s="292">
        <f>27980+1880</f>
        <v>29860</v>
      </c>
      <c r="E153" s="288"/>
      <c r="F153" s="288"/>
      <c r="G153" s="289">
        <v>24548.65</v>
      </c>
      <c r="H153" s="290"/>
      <c r="I153" s="288"/>
      <c r="J153" s="288" t="s">
        <v>144</v>
      </c>
      <c r="K153" s="288"/>
    </row>
    <row r="154" spans="1:11" ht="27.75" customHeight="1">
      <c r="A154" s="293" t="s">
        <v>462</v>
      </c>
      <c r="B154" s="286" t="s">
        <v>478</v>
      </c>
      <c r="C154" s="286" t="s">
        <v>234</v>
      </c>
      <c r="D154" s="292">
        <f>30420+1575</f>
        <v>31995</v>
      </c>
      <c r="E154" s="288"/>
      <c r="F154" s="288"/>
      <c r="G154" s="289">
        <v>30587.72</v>
      </c>
      <c r="H154" s="290"/>
      <c r="I154" s="288"/>
      <c r="J154" s="288" t="s">
        <v>144</v>
      </c>
      <c r="K154" s="288"/>
    </row>
    <row r="155" spans="1:11" ht="27.75" customHeight="1">
      <c r="A155" s="286" t="s">
        <v>479</v>
      </c>
      <c r="B155" s="286" t="s">
        <v>480</v>
      </c>
      <c r="C155" s="286" t="s">
        <v>234</v>
      </c>
      <c r="D155" s="292">
        <f>28513+2851.3</f>
        <v>31364.3</v>
      </c>
      <c r="E155" s="288"/>
      <c r="F155" s="288"/>
      <c r="G155" s="289">
        <v>27185.74</v>
      </c>
      <c r="H155" s="290"/>
      <c r="I155" s="288"/>
      <c r="J155" s="288" t="s">
        <v>144</v>
      </c>
      <c r="K155" s="288"/>
    </row>
    <row r="156" spans="1:11" ht="27.75" customHeight="1">
      <c r="A156" s="286" t="s">
        <v>481</v>
      </c>
      <c r="B156" s="286" t="s">
        <v>482</v>
      </c>
      <c r="C156" s="286" t="s">
        <v>237</v>
      </c>
      <c r="D156" s="301">
        <v>360</v>
      </c>
      <c r="E156" s="288"/>
      <c r="F156" s="288"/>
      <c r="G156" s="289">
        <v>360</v>
      </c>
      <c r="H156" s="290"/>
      <c r="I156" s="288"/>
      <c r="J156" s="288" t="s">
        <v>144</v>
      </c>
      <c r="K156" s="288"/>
    </row>
    <row r="157" spans="1:11" ht="27.75" customHeight="1">
      <c r="A157" s="299" t="s">
        <v>483</v>
      </c>
      <c r="B157" s="286" t="s">
        <v>484</v>
      </c>
      <c r="C157" s="286" t="s">
        <v>234</v>
      </c>
      <c r="D157" s="292">
        <f>4500*0.36+58.32</f>
        <v>1678.32</v>
      </c>
      <c r="E157" s="288"/>
      <c r="F157" s="288"/>
      <c r="G157" s="289">
        <v>1678.32</v>
      </c>
      <c r="H157" s="290"/>
      <c r="I157" s="288"/>
      <c r="J157" s="288" t="s">
        <v>144</v>
      </c>
      <c r="K157" s="288"/>
    </row>
    <row r="158" spans="1:11" ht="27.75" customHeight="1">
      <c r="A158" s="299" t="s">
        <v>352</v>
      </c>
      <c r="B158" s="286" t="s">
        <v>485</v>
      </c>
      <c r="C158" s="286" t="s">
        <v>237</v>
      </c>
      <c r="D158" s="301">
        <v>4900</v>
      </c>
      <c r="E158" s="288"/>
      <c r="F158" s="288"/>
      <c r="G158" s="289">
        <v>4900</v>
      </c>
      <c r="H158" s="290"/>
      <c r="I158" s="288"/>
      <c r="J158" s="288" t="s">
        <v>144</v>
      </c>
      <c r="K158" s="288"/>
    </row>
    <row r="159" spans="1:11" ht="36" customHeight="1">
      <c r="A159" s="286" t="s">
        <v>486</v>
      </c>
      <c r="B159" s="286" t="s">
        <v>487</v>
      </c>
      <c r="C159" s="286" t="s">
        <v>334</v>
      </c>
      <c r="D159" s="292">
        <v>4000</v>
      </c>
      <c r="E159" s="288"/>
      <c r="F159" s="288"/>
      <c r="G159" s="289">
        <v>3779</v>
      </c>
      <c r="H159" s="290"/>
      <c r="I159" s="288"/>
      <c r="J159" s="288" t="s">
        <v>144</v>
      </c>
      <c r="K159" s="288"/>
    </row>
    <row r="160" spans="1:11" ht="27.75" customHeight="1">
      <c r="A160" s="286" t="s">
        <v>294</v>
      </c>
      <c r="B160" s="286" t="s">
        <v>488</v>
      </c>
      <c r="C160" s="286" t="s">
        <v>237</v>
      </c>
      <c r="D160" s="301">
        <v>4175</v>
      </c>
      <c r="E160" s="288"/>
      <c r="F160" s="288"/>
      <c r="G160" s="289">
        <v>4175</v>
      </c>
      <c r="H160" s="290"/>
      <c r="I160" s="288"/>
      <c r="J160" s="288" t="s">
        <v>144</v>
      </c>
      <c r="K160" s="288"/>
    </row>
    <row r="161" spans="1:11" ht="27.75" customHeight="1">
      <c r="A161" s="286" t="s">
        <v>294</v>
      </c>
      <c r="B161" s="293" t="s">
        <v>301</v>
      </c>
      <c r="C161" s="286" t="s">
        <v>237</v>
      </c>
      <c r="D161" s="301">
        <v>4200</v>
      </c>
      <c r="E161" s="288"/>
      <c r="F161" s="288"/>
      <c r="G161" s="289">
        <v>4200</v>
      </c>
      <c r="H161" s="290"/>
      <c r="I161" s="288"/>
      <c r="J161" s="288" t="s">
        <v>144</v>
      </c>
      <c r="K161" s="288"/>
    </row>
    <row r="162" spans="1:11" ht="27.75" customHeight="1">
      <c r="A162" s="286" t="s">
        <v>302</v>
      </c>
      <c r="B162" s="286" t="s">
        <v>489</v>
      </c>
      <c r="C162" s="286" t="s">
        <v>237</v>
      </c>
      <c r="D162" s="301">
        <v>2340</v>
      </c>
      <c r="E162" s="288"/>
      <c r="F162" s="288"/>
      <c r="G162" s="289">
        <v>2340</v>
      </c>
      <c r="H162" s="290"/>
      <c r="I162" s="288"/>
      <c r="J162" s="288" t="s">
        <v>144</v>
      </c>
      <c r="K162" s="288"/>
    </row>
    <row r="163" spans="1:11" ht="27.75" customHeight="1">
      <c r="A163" s="286" t="s">
        <v>490</v>
      </c>
      <c r="B163" s="286" t="s">
        <v>491</v>
      </c>
      <c r="C163" s="286" t="s">
        <v>237</v>
      </c>
      <c r="D163" s="301">
        <f>10*150</f>
        <v>1500</v>
      </c>
      <c r="E163" s="288"/>
      <c r="F163" s="288"/>
      <c r="G163" s="289">
        <v>1500</v>
      </c>
      <c r="H163" s="290"/>
      <c r="I163" s="288"/>
      <c r="J163" s="288" t="s">
        <v>144</v>
      </c>
      <c r="K163" s="288"/>
    </row>
    <row r="164" spans="1:11" ht="27.75" customHeight="1">
      <c r="A164" s="286" t="s">
        <v>492</v>
      </c>
      <c r="B164" s="286" t="s">
        <v>493</v>
      </c>
      <c r="C164" s="286" t="s">
        <v>446</v>
      </c>
      <c r="D164" s="301">
        <f>2*1130</f>
        <v>2260</v>
      </c>
      <c r="E164" s="288"/>
      <c r="F164" s="288"/>
      <c r="G164" s="289">
        <v>2260</v>
      </c>
      <c r="H164" s="290"/>
      <c r="I164" s="288"/>
      <c r="J164" s="288" t="s">
        <v>144</v>
      </c>
      <c r="K164" s="288"/>
    </row>
    <row r="165" spans="1:11" ht="27.75" customHeight="1">
      <c r="A165" s="286" t="s">
        <v>494</v>
      </c>
      <c r="B165" s="286" t="s">
        <v>495</v>
      </c>
      <c r="C165" s="286" t="s">
        <v>237</v>
      </c>
      <c r="D165" s="301">
        <v>1915</v>
      </c>
      <c r="E165" s="288"/>
      <c r="F165" s="288"/>
      <c r="G165" s="289">
        <v>1915</v>
      </c>
      <c r="H165" s="290"/>
      <c r="I165" s="288"/>
      <c r="J165" s="288" t="s">
        <v>144</v>
      </c>
      <c r="K165" s="288"/>
    </row>
    <row r="166" spans="1:11" ht="27.75" customHeight="1">
      <c r="A166" s="286" t="s">
        <v>496</v>
      </c>
      <c r="B166" s="286" t="s">
        <v>497</v>
      </c>
      <c r="C166" s="286" t="s">
        <v>237</v>
      </c>
      <c r="D166" s="301">
        <f>4*270</f>
        <v>1080</v>
      </c>
      <c r="E166" s="288"/>
      <c r="F166" s="288"/>
      <c r="G166" s="289">
        <v>1080</v>
      </c>
      <c r="H166" s="290"/>
      <c r="I166" s="288"/>
      <c r="J166" s="288" t="s">
        <v>144</v>
      </c>
      <c r="K166" s="288"/>
    </row>
    <row r="167" spans="1:11" ht="27.75" customHeight="1">
      <c r="A167" s="286" t="s">
        <v>498</v>
      </c>
      <c r="B167" s="291" t="s">
        <v>499</v>
      </c>
      <c r="C167" s="286" t="s">
        <v>234</v>
      </c>
      <c r="D167" s="292">
        <f>250000*0.02+1000*0.02+200*0.75+5170*10%</f>
        <v>5687</v>
      </c>
      <c r="E167" s="288"/>
      <c r="F167" s="288"/>
      <c r="G167" s="289">
        <v>5223.120000000001</v>
      </c>
      <c r="H167" s="290"/>
      <c r="I167" s="288"/>
      <c r="J167" s="288" t="s">
        <v>144</v>
      </c>
      <c r="K167" s="288"/>
    </row>
    <row r="168" spans="1:11" ht="36.75" customHeight="1">
      <c r="A168" s="286" t="s">
        <v>500</v>
      </c>
      <c r="B168" s="286" t="s">
        <v>501</v>
      </c>
      <c r="C168" s="286" t="s">
        <v>334</v>
      </c>
      <c r="D168" s="292">
        <f>4000+400</f>
        <v>4400</v>
      </c>
      <c r="E168" s="288"/>
      <c r="F168" s="288"/>
      <c r="G168" s="289">
        <v>4378</v>
      </c>
      <c r="H168" s="290"/>
      <c r="I168" s="288"/>
      <c r="J168" s="288" t="s">
        <v>144</v>
      </c>
      <c r="K168" s="288"/>
    </row>
    <row r="169" spans="1:11" ht="27.75" customHeight="1">
      <c r="A169" s="291" t="s">
        <v>502</v>
      </c>
      <c r="B169" s="291" t="s">
        <v>503</v>
      </c>
      <c r="C169" s="286" t="s">
        <v>234</v>
      </c>
      <c r="D169" s="292">
        <f>116245-23522.9-890.04</f>
        <v>91832.06000000001</v>
      </c>
      <c r="E169" s="288"/>
      <c r="F169" s="288"/>
      <c r="G169" s="289">
        <v>91832.06</v>
      </c>
      <c r="H169" s="290"/>
      <c r="I169" s="288"/>
      <c r="J169" s="288" t="s">
        <v>144</v>
      </c>
      <c r="K169" s="288"/>
    </row>
    <row r="170" spans="1:11" ht="27.75" customHeight="1">
      <c r="A170" s="286" t="s">
        <v>456</v>
      </c>
      <c r="B170" s="286" t="s">
        <v>457</v>
      </c>
      <c r="C170" s="286" t="s">
        <v>237</v>
      </c>
      <c r="D170" s="292">
        <f>200+20</f>
        <v>220</v>
      </c>
      <c r="E170" s="288"/>
      <c r="F170" s="288"/>
      <c r="G170" s="289">
        <v>220</v>
      </c>
      <c r="H170" s="290"/>
      <c r="I170" s="288"/>
      <c r="J170" s="288" t="s">
        <v>144</v>
      </c>
      <c r="K170" s="288"/>
    </row>
    <row r="171" spans="1:11" ht="27.75" customHeight="1">
      <c r="A171" s="286" t="s">
        <v>504</v>
      </c>
      <c r="B171" s="286" t="s">
        <v>505</v>
      </c>
      <c r="C171" s="286" t="s">
        <v>237</v>
      </c>
      <c r="D171" s="301">
        <f>1174*2</f>
        <v>2348</v>
      </c>
      <c r="E171" s="288"/>
      <c r="F171" s="288"/>
      <c r="G171" s="289">
        <v>2348</v>
      </c>
      <c r="H171" s="290"/>
      <c r="I171" s="288"/>
      <c r="J171" s="288" t="s">
        <v>144</v>
      </c>
      <c r="K171" s="288"/>
    </row>
    <row r="172" spans="1:11" ht="27.75" customHeight="1">
      <c r="A172" s="286" t="s">
        <v>506</v>
      </c>
      <c r="B172" s="286" t="s">
        <v>507</v>
      </c>
      <c r="C172" s="286" t="s">
        <v>237</v>
      </c>
      <c r="D172" s="301">
        <v>236</v>
      </c>
      <c r="E172" s="288"/>
      <c r="F172" s="288"/>
      <c r="G172" s="289">
        <v>236</v>
      </c>
      <c r="H172" s="290"/>
      <c r="I172" s="288"/>
      <c r="J172" s="288" t="s">
        <v>144</v>
      </c>
      <c r="K172" s="288"/>
    </row>
    <row r="173" spans="1:11" ht="27.75" customHeight="1">
      <c r="A173" s="286" t="s">
        <v>508</v>
      </c>
      <c r="B173" s="286" t="s">
        <v>509</v>
      </c>
      <c r="C173" s="286" t="s">
        <v>237</v>
      </c>
      <c r="D173" s="301">
        <f>2*489</f>
        <v>978</v>
      </c>
      <c r="E173" s="288"/>
      <c r="F173" s="288"/>
      <c r="G173" s="289">
        <v>978</v>
      </c>
      <c r="H173" s="290"/>
      <c r="I173" s="288"/>
      <c r="J173" s="288" t="s">
        <v>144</v>
      </c>
      <c r="K173" s="288"/>
    </row>
    <row r="174" spans="1:11" ht="43.5" customHeight="1">
      <c r="A174" s="286" t="s">
        <v>510</v>
      </c>
      <c r="B174" s="286" t="s">
        <v>511</v>
      </c>
      <c r="C174" s="286" t="s">
        <v>234</v>
      </c>
      <c r="D174" s="301">
        <v>9250</v>
      </c>
      <c r="E174" s="288"/>
      <c r="F174" s="288"/>
      <c r="G174" s="289">
        <v>9250</v>
      </c>
      <c r="H174" s="290"/>
      <c r="I174" s="288"/>
      <c r="J174" s="288" t="s">
        <v>144</v>
      </c>
      <c r="K174" s="288"/>
    </row>
    <row r="175" spans="1:11" ht="36" customHeight="1">
      <c r="A175" s="293" t="s">
        <v>512</v>
      </c>
      <c r="B175" s="291" t="s">
        <v>513</v>
      </c>
      <c r="C175" s="286" t="s">
        <v>234</v>
      </c>
      <c r="D175" s="301">
        <v>10723</v>
      </c>
      <c r="E175" s="288"/>
      <c r="F175" s="288"/>
      <c r="G175" s="289">
        <v>10723</v>
      </c>
      <c r="H175" s="290"/>
      <c r="I175" s="288"/>
      <c r="J175" s="288" t="s">
        <v>144</v>
      </c>
      <c r="K175" s="288"/>
    </row>
    <row r="176" spans="1:11" ht="27.75" customHeight="1">
      <c r="A176" s="286" t="s">
        <v>494</v>
      </c>
      <c r="B176" s="286" t="s">
        <v>514</v>
      </c>
      <c r="C176" s="286" t="s">
        <v>237</v>
      </c>
      <c r="D176" s="301">
        <v>3070</v>
      </c>
      <c r="E176" s="288"/>
      <c r="F176" s="288"/>
      <c r="G176" s="289">
        <v>3070</v>
      </c>
      <c r="H176" s="290"/>
      <c r="I176" s="288"/>
      <c r="J176" s="288" t="s">
        <v>144</v>
      </c>
      <c r="K176" s="288"/>
    </row>
    <row r="177" spans="1:11" ht="27.75" customHeight="1">
      <c r="A177" s="293" t="s">
        <v>515</v>
      </c>
      <c r="B177" s="291" t="s">
        <v>516</v>
      </c>
      <c r="C177" s="286" t="s">
        <v>237</v>
      </c>
      <c r="D177" s="301">
        <v>1000</v>
      </c>
      <c r="E177" s="288"/>
      <c r="F177" s="288"/>
      <c r="G177" s="289">
        <v>1000</v>
      </c>
      <c r="H177" s="290"/>
      <c r="I177" s="288"/>
      <c r="J177" s="288" t="s">
        <v>144</v>
      </c>
      <c r="K177" s="288"/>
    </row>
    <row r="178" spans="1:11" ht="27.75" customHeight="1">
      <c r="A178" s="293" t="s">
        <v>517</v>
      </c>
      <c r="B178" s="291" t="s">
        <v>518</v>
      </c>
      <c r="C178" s="286" t="s">
        <v>237</v>
      </c>
      <c r="D178" s="301">
        <v>370</v>
      </c>
      <c r="E178" s="288"/>
      <c r="F178" s="288"/>
      <c r="G178" s="289">
        <v>370</v>
      </c>
      <c r="H178" s="290"/>
      <c r="I178" s="288"/>
      <c r="J178" s="288" t="s">
        <v>144</v>
      </c>
      <c r="K178" s="288"/>
    </row>
    <row r="179" spans="1:11" ht="27.75" customHeight="1">
      <c r="A179" s="293" t="s">
        <v>519</v>
      </c>
      <c r="B179" s="291" t="s">
        <v>520</v>
      </c>
      <c r="C179" s="286" t="s">
        <v>237</v>
      </c>
      <c r="D179" s="301">
        <f>10*9.8</f>
        <v>98</v>
      </c>
      <c r="E179" s="288"/>
      <c r="F179" s="288"/>
      <c r="G179" s="289">
        <v>98</v>
      </c>
      <c r="H179" s="290"/>
      <c r="I179" s="288"/>
      <c r="J179" s="288" t="s">
        <v>144</v>
      </c>
      <c r="K179" s="288"/>
    </row>
    <row r="180" spans="1:11" ht="27.75" customHeight="1">
      <c r="A180" s="293" t="s">
        <v>521</v>
      </c>
      <c r="B180" s="291" t="s">
        <v>522</v>
      </c>
      <c r="C180" s="286" t="s">
        <v>234</v>
      </c>
      <c r="D180" s="301">
        <v>17980</v>
      </c>
      <c r="E180" s="288"/>
      <c r="F180" s="288"/>
      <c r="G180" s="289">
        <v>17980</v>
      </c>
      <c r="H180" s="290"/>
      <c r="I180" s="288"/>
      <c r="J180" s="288" t="s">
        <v>144</v>
      </c>
      <c r="K180" s="288"/>
    </row>
    <row r="181" spans="1:11" ht="27.75" customHeight="1">
      <c r="A181" s="310" t="s">
        <v>523</v>
      </c>
      <c r="B181" s="291" t="s">
        <v>524</v>
      </c>
      <c r="C181" s="286" t="s">
        <v>237</v>
      </c>
      <c r="D181" s="301">
        <f>1*920</f>
        <v>920</v>
      </c>
      <c r="E181" s="288"/>
      <c r="F181" s="288"/>
      <c r="G181" s="289">
        <v>920</v>
      </c>
      <c r="H181" s="290"/>
      <c r="I181" s="288"/>
      <c r="J181" s="288" t="s">
        <v>144</v>
      </c>
      <c r="K181" s="288"/>
    </row>
    <row r="182" spans="1:11" ht="38.25" customHeight="1">
      <c r="A182" s="293" t="s">
        <v>525</v>
      </c>
      <c r="B182" s="286" t="s">
        <v>526</v>
      </c>
      <c r="C182" s="286" t="s">
        <v>334</v>
      </c>
      <c r="D182" s="301">
        <v>3000</v>
      </c>
      <c r="E182" s="288"/>
      <c r="F182" s="288"/>
      <c r="G182" s="289">
        <v>2070</v>
      </c>
      <c r="H182" s="290"/>
      <c r="I182" s="288"/>
      <c r="J182" s="288" t="s">
        <v>144</v>
      </c>
      <c r="K182" s="288"/>
    </row>
    <row r="183" spans="1:11" ht="27.75" customHeight="1">
      <c r="A183" s="293" t="s">
        <v>527</v>
      </c>
      <c r="B183" s="293" t="s">
        <v>528</v>
      </c>
      <c r="C183" s="286" t="s">
        <v>237</v>
      </c>
      <c r="D183" s="301">
        <v>4900</v>
      </c>
      <c r="E183" s="288"/>
      <c r="F183" s="288"/>
      <c r="G183" s="289">
        <v>4900.000000000001</v>
      </c>
      <c r="H183" s="290"/>
      <c r="I183" s="288"/>
      <c r="J183" s="288" t="s">
        <v>144</v>
      </c>
      <c r="K183" s="288"/>
    </row>
    <row r="184" spans="1:11" ht="27.75" customHeight="1">
      <c r="A184" s="286" t="s">
        <v>347</v>
      </c>
      <c r="B184" s="293" t="s">
        <v>529</v>
      </c>
      <c r="C184" s="286" t="s">
        <v>237</v>
      </c>
      <c r="D184" s="301">
        <v>1950</v>
      </c>
      <c r="E184" s="288"/>
      <c r="F184" s="288"/>
      <c r="G184" s="289">
        <v>1426.5</v>
      </c>
      <c r="H184" s="290"/>
      <c r="I184" s="288"/>
      <c r="J184" s="288" t="s">
        <v>144</v>
      </c>
      <c r="K184" s="288"/>
    </row>
    <row r="185" spans="1:11" ht="27.75" customHeight="1">
      <c r="A185" s="293" t="s">
        <v>515</v>
      </c>
      <c r="B185" s="291" t="s">
        <v>516</v>
      </c>
      <c r="C185" s="286" t="s">
        <v>237</v>
      </c>
      <c r="D185" s="301">
        <f>2*1000</f>
        <v>2000</v>
      </c>
      <c r="E185" s="288"/>
      <c r="F185" s="288"/>
      <c r="G185" s="289">
        <v>2000</v>
      </c>
      <c r="H185" s="290"/>
      <c r="I185" s="288"/>
      <c r="J185" s="288" t="s">
        <v>144</v>
      </c>
      <c r="K185" s="288"/>
    </row>
    <row r="186" spans="1:11" ht="27.75" customHeight="1">
      <c r="A186" s="286" t="s">
        <v>530</v>
      </c>
      <c r="B186" s="291" t="s">
        <v>531</v>
      </c>
      <c r="C186" s="286" t="s">
        <v>237</v>
      </c>
      <c r="D186" s="301">
        <v>4900</v>
      </c>
      <c r="E186" s="288"/>
      <c r="F186" s="288"/>
      <c r="G186" s="289">
        <v>4900</v>
      </c>
      <c r="H186" s="290"/>
      <c r="I186" s="288"/>
      <c r="J186" s="288" t="s">
        <v>144</v>
      </c>
      <c r="K186" s="288"/>
    </row>
    <row r="187" spans="1:11" ht="27.75" customHeight="1">
      <c r="A187" s="300" t="s">
        <v>532</v>
      </c>
      <c r="B187" s="291" t="s">
        <v>533</v>
      </c>
      <c r="C187" s="286" t="s">
        <v>237</v>
      </c>
      <c r="D187" s="301">
        <v>100</v>
      </c>
      <c r="E187" s="288"/>
      <c r="F187" s="288"/>
      <c r="G187" s="289">
        <v>100</v>
      </c>
      <c r="H187" s="290"/>
      <c r="I187" s="288"/>
      <c r="J187" s="288" t="s">
        <v>144</v>
      </c>
      <c r="K187" s="288"/>
    </row>
    <row r="188" spans="1:11" ht="27.75" customHeight="1">
      <c r="A188" s="286" t="s">
        <v>534</v>
      </c>
      <c r="B188" s="291" t="s">
        <v>535</v>
      </c>
      <c r="C188" s="286" t="s">
        <v>234</v>
      </c>
      <c r="D188" s="301">
        <v>95187.49</v>
      </c>
      <c r="E188" s="288"/>
      <c r="F188" s="288"/>
      <c r="G188" s="289">
        <v>95187.48999999999</v>
      </c>
      <c r="H188" s="290"/>
      <c r="I188" s="288"/>
      <c r="J188" s="288" t="s">
        <v>144</v>
      </c>
      <c r="K188" s="288"/>
    </row>
    <row r="189" spans="1:11" ht="27.75" customHeight="1">
      <c r="A189" s="286" t="s">
        <v>504</v>
      </c>
      <c r="B189" s="291" t="s">
        <v>536</v>
      </c>
      <c r="C189" s="286" t="s">
        <v>237</v>
      </c>
      <c r="D189" s="301">
        <v>50</v>
      </c>
      <c r="E189" s="288"/>
      <c r="F189" s="288"/>
      <c r="G189" s="289">
        <v>50</v>
      </c>
      <c r="H189" s="290"/>
      <c r="I189" s="288"/>
      <c r="J189" s="288" t="s">
        <v>144</v>
      </c>
      <c r="K189" s="288"/>
    </row>
    <row r="190" spans="1:11" ht="27.75" customHeight="1">
      <c r="A190" s="286" t="s">
        <v>401</v>
      </c>
      <c r="B190" s="286" t="s">
        <v>537</v>
      </c>
      <c r="C190" s="286" t="s">
        <v>446</v>
      </c>
      <c r="D190" s="301">
        <f>4*70</f>
        <v>280</v>
      </c>
      <c r="E190" s="288"/>
      <c r="F190" s="288"/>
      <c r="G190" s="289">
        <v>280</v>
      </c>
      <c r="H190" s="290"/>
      <c r="I190" s="288"/>
      <c r="J190" s="288" t="s">
        <v>144</v>
      </c>
      <c r="K190" s="288"/>
    </row>
    <row r="191" spans="1:11" ht="42.75" customHeight="1">
      <c r="A191" s="286" t="s">
        <v>538</v>
      </c>
      <c r="B191" s="286" t="s">
        <v>539</v>
      </c>
      <c r="C191" s="286" t="s">
        <v>407</v>
      </c>
      <c r="D191" s="297">
        <v>3000</v>
      </c>
      <c r="E191" s="288"/>
      <c r="F191" s="288"/>
      <c r="G191" s="289">
        <v>2775</v>
      </c>
      <c r="H191" s="290"/>
      <c r="I191" s="288"/>
      <c r="J191" s="288" t="s">
        <v>144</v>
      </c>
      <c r="K191" s="288"/>
    </row>
    <row r="192" spans="1:11" ht="27.75" customHeight="1">
      <c r="A192" s="286" t="s">
        <v>540</v>
      </c>
      <c r="B192" s="286" t="s">
        <v>541</v>
      </c>
      <c r="C192" s="286" t="s">
        <v>237</v>
      </c>
      <c r="D192" s="297">
        <v>400</v>
      </c>
      <c r="E192" s="288"/>
      <c r="F192" s="288"/>
      <c r="G192" s="289">
        <v>264</v>
      </c>
      <c r="H192" s="290"/>
      <c r="I192" s="288"/>
      <c r="J192" s="288" t="s">
        <v>144</v>
      </c>
      <c r="K192" s="288"/>
    </row>
    <row r="193" spans="1:11" ht="27.75" customHeight="1">
      <c r="A193" s="286" t="s">
        <v>542</v>
      </c>
      <c r="B193" s="286" t="s">
        <v>543</v>
      </c>
      <c r="C193" s="286" t="s">
        <v>237</v>
      </c>
      <c r="D193" s="296">
        <v>950</v>
      </c>
      <c r="E193" s="288"/>
      <c r="F193" s="288"/>
      <c r="G193" s="289">
        <v>950</v>
      </c>
      <c r="H193" s="290"/>
      <c r="I193" s="288"/>
      <c r="J193" s="288" t="s">
        <v>144</v>
      </c>
      <c r="K193" s="288"/>
    </row>
    <row r="194" spans="1:11" ht="27.75" customHeight="1">
      <c r="A194" s="286" t="s">
        <v>544</v>
      </c>
      <c r="B194" s="286" t="s">
        <v>545</v>
      </c>
      <c r="C194" s="286" t="s">
        <v>237</v>
      </c>
      <c r="D194" s="296">
        <v>1308.54</v>
      </c>
      <c r="E194" s="288"/>
      <c r="F194" s="288"/>
      <c r="G194" s="289">
        <v>1308.54</v>
      </c>
      <c r="H194" s="290"/>
      <c r="I194" s="288"/>
      <c r="J194" s="288" t="s">
        <v>144</v>
      </c>
      <c r="K194" s="288"/>
    </row>
    <row r="195" spans="1:11" ht="37.5" customHeight="1">
      <c r="A195" s="310" t="s">
        <v>546</v>
      </c>
      <c r="B195" s="291" t="s">
        <v>547</v>
      </c>
      <c r="C195" s="286" t="s">
        <v>234</v>
      </c>
      <c r="D195" s="296">
        <v>6900</v>
      </c>
      <c r="E195" s="288"/>
      <c r="F195" s="288"/>
      <c r="G195" s="289">
        <v>6900</v>
      </c>
      <c r="H195" s="290"/>
      <c r="I195" s="288"/>
      <c r="J195" s="288" t="s">
        <v>144</v>
      </c>
      <c r="K195" s="288"/>
    </row>
    <row r="196" spans="1:11" ht="39.75" customHeight="1">
      <c r="A196" s="286" t="s">
        <v>548</v>
      </c>
      <c r="B196" s="286" t="s">
        <v>549</v>
      </c>
      <c r="C196" s="286" t="s">
        <v>237</v>
      </c>
      <c r="D196" s="296">
        <v>880</v>
      </c>
      <c r="E196" s="288"/>
      <c r="F196" s="288"/>
      <c r="G196" s="289">
        <v>880</v>
      </c>
      <c r="H196" s="290"/>
      <c r="I196" s="288"/>
      <c r="J196" s="288" t="s">
        <v>144</v>
      </c>
      <c r="K196" s="288"/>
    </row>
    <row r="197" spans="1:11" ht="33" customHeight="1">
      <c r="A197" s="293" t="s">
        <v>550</v>
      </c>
      <c r="B197" s="291" t="s">
        <v>551</v>
      </c>
      <c r="C197" s="286" t="s">
        <v>234</v>
      </c>
      <c r="D197" s="296">
        <v>8898.78</v>
      </c>
      <c r="E197" s="288"/>
      <c r="F197" s="288"/>
      <c r="G197" s="289">
        <v>8898.78</v>
      </c>
      <c r="H197" s="290"/>
      <c r="I197" s="288"/>
      <c r="J197" s="288" t="s">
        <v>144</v>
      </c>
      <c r="K197" s="288"/>
    </row>
    <row r="198" spans="1:11" ht="27.75" customHeight="1">
      <c r="A198" s="286" t="s">
        <v>552</v>
      </c>
      <c r="B198" s="286" t="s">
        <v>553</v>
      </c>
      <c r="C198" s="286" t="s">
        <v>237</v>
      </c>
      <c r="D198" s="296">
        <f>121.4+36*10*5+336</f>
        <v>2257.4</v>
      </c>
      <c r="E198" s="288"/>
      <c r="F198" s="288"/>
      <c r="G198" s="289">
        <v>2257.3</v>
      </c>
      <c r="H198" s="290"/>
      <c r="I198" s="288"/>
      <c r="J198" s="288" t="s">
        <v>144</v>
      </c>
      <c r="K198" s="288"/>
    </row>
    <row r="199" spans="1:11" ht="27.75" customHeight="1">
      <c r="A199" s="286" t="s">
        <v>554</v>
      </c>
      <c r="B199" s="286" t="s">
        <v>555</v>
      </c>
      <c r="C199" s="286" t="s">
        <v>237</v>
      </c>
      <c r="D199" s="296">
        <v>370</v>
      </c>
      <c r="E199" s="288"/>
      <c r="F199" s="288"/>
      <c r="G199" s="289">
        <v>370</v>
      </c>
      <c r="H199" s="290"/>
      <c r="I199" s="288"/>
      <c r="J199" s="288" t="s">
        <v>144</v>
      </c>
      <c r="K199" s="288"/>
    </row>
    <row r="200" spans="1:11" ht="27.75" customHeight="1">
      <c r="A200" s="286" t="s">
        <v>556</v>
      </c>
      <c r="B200" s="286" t="s">
        <v>557</v>
      </c>
      <c r="C200" s="286" t="s">
        <v>237</v>
      </c>
      <c r="D200" s="296">
        <v>62</v>
      </c>
      <c r="E200" s="288"/>
      <c r="F200" s="288"/>
      <c r="G200" s="289">
        <v>62</v>
      </c>
      <c r="H200" s="290"/>
      <c r="I200" s="288"/>
      <c r="J200" s="288" t="s">
        <v>144</v>
      </c>
      <c r="K200" s="288"/>
    </row>
    <row r="201" spans="1:11" ht="27.75" customHeight="1">
      <c r="A201" s="291" t="s">
        <v>502</v>
      </c>
      <c r="B201" s="291" t="s">
        <v>558</v>
      </c>
      <c r="C201" s="286" t="s">
        <v>559</v>
      </c>
      <c r="D201" s="301">
        <f>164711.56-1375.9-4577.08</f>
        <v>158758.58000000002</v>
      </c>
      <c r="E201" s="288"/>
      <c r="F201" s="288"/>
      <c r="G201" s="289">
        <v>158758.58</v>
      </c>
      <c r="H201" s="290"/>
      <c r="I201" s="288"/>
      <c r="J201" s="288" t="s">
        <v>144</v>
      </c>
      <c r="K201" s="288"/>
    </row>
    <row r="202" spans="1:11" ht="36" customHeight="1">
      <c r="A202" s="286" t="s">
        <v>500</v>
      </c>
      <c r="B202" s="286" t="s">
        <v>560</v>
      </c>
      <c r="C202" s="286" t="s">
        <v>334</v>
      </c>
      <c r="D202" s="296">
        <v>3000</v>
      </c>
      <c r="E202" s="288"/>
      <c r="F202" s="288"/>
      <c r="G202" s="289">
        <v>890</v>
      </c>
      <c r="H202" s="290"/>
      <c r="I202" s="288"/>
      <c r="J202" s="288" t="s">
        <v>144</v>
      </c>
      <c r="K202" s="288"/>
    </row>
    <row r="203" spans="1:11" ht="43.5" customHeight="1">
      <c r="A203" s="286" t="s">
        <v>561</v>
      </c>
      <c r="B203" s="286" t="s">
        <v>562</v>
      </c>
      <c r="C203" s="286" t="s">
        <v>237</v>
      </c>
      <c r="D203" s="296">
        <f>125*5</f>
        <v>625</v>
      </c>
      <c r="E203" s="288"/>
      <c r="F203" s="288"/>
      <c r="G203" s="289">
        <v>625</v>
      </c>
      <c r="H203" s="290"/>
      <c r="I203" s="288"/>
      <c r="J203" s="288" t="s">
        <v>144</v>
      </c>
      <c r="K203" s="288"/>
    </row>
    <row r="204" spans="1:11" ht="27.75" customHeight="1">
      <c r="A204" s="286" t="s">
        <v>563</v>
      </c>
      <c r="B204" s="286" t="s">
        <v>564</v>
      </c>
      <c r="C204" s="286" t="s">
        <v>237</v>
      </c>
      <c r="D204" s="296">
        <v>560</v>
      </c>
      <c r="E204" s="288"/>
      <c r="F204" s="288"/>
      <c r="G204" s="289">
        <v>560</v>
      </c>
      <c r="H204" s="290"/>
      <c r="I204" s="288"/>
      <c r="J204" s="288" t="s">
        <v>144</v>
      </c>
      <c r="K204" s="288"/>
    </row>
    <row r="205" spans="1:11" ht="27.75" customHeight="1">
      <c r="A205" s="286" t="s">
        <v>391</v>
      </c>
      <c r="B205" s="286" t="s">
        <v>565</v>
      </c>
      <c r="C205" s="286" t="s">
        <v>237</v>
      </c>
      <c r="D205" s="296">
        <f>39*42</f>
        <v>1638</v>
      </c>
      <c r="E205" s="288"/>
      <c r="F205" s="288"/>
      <c r="G205" s="289">
        <v>1638</v>
      </c>
      <c r="H205" s="290"/>
      <c r="I205" s="288"/>
      <c r="J205" s="288" t="s">
        <v>144</v>
      </c>
      <c r="K205" s="288"/>
    </row>
    <row r="206" spans="1:11" ht="27.75" customHeight="1">
      <c r="A206" s="286" t="s">
        <v>566</v>
      </c>
      <c r="B206" s="286" t="s">
        <v>567</v>
      </c>
      <c r="C206" s="286" t="s">
        <v>237</v>
      </c>
      <c r="D206" s="296">
        <f>15*13.9</f>
        <v>208.5</v>
      </c>
      <c r="E206" s="288"/>
      <c r="F206" s="288"/>
      <c r="G206" s="289">
        <v>208.5</v>
      </c>
      <c r="H206" s="290"/>
      <c r="I206" s="288"/>
      <c r="J206" s="288" t="s">
        <v>144</v>
      </c>
      <c r="K206" s="288"/>
    </row>
    <row r="207" spans="1:11" ht="45.75" customHeight="1">
      <c r="A207" s="286" t="s">
        <v>568</v>
      </c>
      <c r="B207" s="286" t="s">
        <v>569</v>
      </c>
      <c r="C207" s="286" t="s">
        <v>234</v>
      </c>
      <c r="D207" s="296">
        <f>52000-1920</f>
        <v>50080</v>
      </c>
      <c r="E207" s="288"/>
      <c r="F207" s="288"/>
      <c r="G207" s="289">
        <v>50080</v>
      </c>
      <c r="H207" s="290"/>
      <c r="I207" s="288"/>
      <c r="J207" s="288" t="s">
        <v>144</v>
      </c>
      <c r="K207" s="288"/>
    </row>
    <row r="208" spans="1:11" ht="46.5" customHeight="1">
      <c r="A208" s="286" t="s">
        <v>570</v>
      </c>
      <c r="B208" s="286" t="s">
        <v>571</v>
      </c>
      <c r="C208" s="286" t="s">
        <v>407</v>
      </c>
      <c r="D208" s="296">
        <v>45</v>
      </c>
      <c r="E208" s="288"/>
      <c r="F208" s="288"/>
      <c r="G208" s="289">
        <v>45</v>
      </c>
      <c r="H208" s="290"/>
      <c r="I208" s="288"/>
      <c r="J208" s="288" t="s">
        <v>144</v>
      </c>
      <c r="K208" s="288"/>
    </row>
    <row r="209" spans="1:11" ht="27.75" customHeight="1">
      <c r="A209" s="286" t="s">
        <v>572</v>
      </c>
      <c r="B209" s="292" t="s">
        <v>573</v>
      </c>
      <c r="C209" s="286" t="s">
        <v>237</v>
      </c>
      <c r="D209" s="296">
        <v>150</v>
      </c>
      <c r="E209" s="288"/>
      <c r="F209" s="288"/>
      <c r="G209" s="289">
        <v>150</v>
      </c>
      <c r="H209" s="290"/>
      <c r="I209" s="288"/>
      <c r="J209" s="288" t="s">
        <v>144</v>
      </c>
      <c r="K209" s="288"/>
    </row>
    <row r="210" spans="1:11" ht="27.75" customHeight="1">
      <c r="A210" s="286" t="s">
        <v>574</v>
      </c>
      <c r="B210" s="286" t="s">
        <v>575</v>
      </c>
      <c r="C210" s="286" t="s">
        <v>237</v>
      </c>
      <c r="D210" s="296">
        <f>5*123</f>
        <v>615</v>
      </c>
      <c r="E210" s="288"/>
      <c r="F210" s="288"/>
      <c r="G210" s="289">
        <v>615</v>
      </c>
      <c r="H210" s="290"/>
      <c r="I210" s="288"/>
      <c r="J210" s="288" t="s">
        <v>144</v>
      </c>
      <c r="K210" s="288"/>
    </row>
    <row r="211" spans="1:11" ht="27.75" customHeight="1">
      <c r="A211" s="310" t="s">
        <v>576</v>
      </c>
      <c r="B211" s="286" t="s">
        <v>577</v>
      </c>
      <c r="C211" s="286" t="s">
        <v>234</v>
      </c>
      <c r="D211" s="296">
        <f>500*8.15+4075*10%</f>
        <v>4482.5</v>
      </c>
      <c r="E211" s="288"/>
      <c r="F211" s="288"/>
      <c r="G211" s="289">
        <v>4482.5</v>
      </c>
      <c r="H211" s="290"/>
      <c r="I211" s="288"/>
      <c r="J211" s="288" t="s">
        <v>144</v>
      </c>
      <c r="K211" s="288"/>
    </row>
    <row r="212" spans="1:11" ht="27.75" customHeight="1">
      <c r="A212" s="310" t="s">
        <v>578</v>
      </c>
      <c r="B212" s="286" t="s">
        <v>579</v>
      </c>
      <c r="C212" s="286" t="s">
        <v>237</v>
      </c>
      <c r="D212" s="296">
        <f>100*8</f>
        <v>800</v>
      </c>
      <c r="E212" s="288"/>
      <c r="F212" s="288"/>
      <c r="G212" s="289">
        <v>800</v>
      </c>
      <c r="H212" s="290"/>
      <c r="I212" s="288"/>
      <c r="J212" s="288" t="s">
        <v>144</v>
      </c>
      <c r="K212" s="288"/>
    </row>
    <row r="213" spans="1:11" ht="27.75" customHeight="1">
      <c r="A213" s="310" t="s">
        <v>580</v>
      </c>
      <c r="B213" s="291" t="s">
        <v>581</v>
      </c>
      <c r="C213" s="286" t="s">
        <v>234</v>
      </c>
      <c r="D213" s="296">
        <v>3900</v>
      </c>
      <c r="E213" s="288"/>
      <c r="F213" s="288"/>
      <c r="G213" s="289">
        <v>3900</v>
      </c>
      <c r="H213" s="290"/>
      <c r="I213" s="288"/>
      <c r="J213" s="288" t="s">
        <v>144</v>
      </c>
      <c r="K213" s="288"/>
    </row>
    <row r="214" spans="1:11" ht="27.75" customHeight="1">
      <c r="A214" s="310" t="s">
        <v>582</v>
      </c>
      <c r="B214" s="286" t="s">
        <v>583</v>
      </c>
      <c r="C214" s="286" t="s">
        <v>237</v>
      </c>
      <c r="D214" s="296">
        <v>70</v>
      </c>
      <c r="E214" s="288"/>
      <c r="F214" s="288"/>
      <c r="G214" s="289">
        <v>70</v>
      </c>
      <c r="H214" s="290"/>
      <c r="I214" s="288"/>
      <c r="J214" s="288" t="s">
        <v>144</v>
      </c>
      <c r="K214" s="288"/>
    </row>
    <row r="215" spans="1:11" ht="27.75" customHeight="1">
      <c r="A215" s="310" t="s">
        <v>584</v>
      </c>
      <c r="B215" s="286" t="s">
        <v>585</v>
      </c>
      <c r="C215" s="286" t="s">
        <v>237</v>
      </c>
      <c r="D215" s="296">
        <v>2700</v>
      </c>
      <c r="E215" s="288"/>
      <c r="F215" s="288"/>
      <c r="G215" s="289">
        <v>2700</v>
      </c>
      <c r="H215" s="290"/>
      <c r="I215" s="288"/>
      <c r="J215" s="288" t="s">
        <v>144</v>
      </c>
      <c r="K215" s="288"/>
    </row>
    <row r="216" spans="1:11" ht="27.75" customHeight="1">
      <c r="A216" s="286" t="s">
        <v>586</v>
      </c>
      <c r="B216" s="286" t="s">
        <v>587</v>
      </c>
      <c r="C216" s="286" t="s">
        <v>237</v>
      </c>
      <c r="D216" s="296">
        <f>2000*0.62</f>
        <v>1240</v>
      </c>
      <c r="E216" s="288"/>
      <c r="F216" s="288"/>
      <c r="G216" s="289">
        <v>1240</v>
      </c>
      <c r="H216" s="290"/>
      <c r="I216" s="288"/>
      <c r="J216" s="288" t="s">
        <v>144</v>
      </c>
      <c r="K216" s="288"/>
    </row>
    <row r="217" spans="1:11" ht="41.25" customHeight="1">
      <c r="A217" s="286" t="s">
        <v>568</v>
      </c>
      <c r="B217" s="286" t="s">
        <v>569</v>
      </c>
      <c r="C217" s="286" t="s">
        <v>234</v>
      </c>
      <c r="D217" s="296">
        <v>72000</v>
      </c>
      <c r="E217" s="288"/>
      <c r="F217" s="288"/>
      <c r="G217" s="289">
        <v>55395</v>
      </c>
      <c r="H217" s="290"/>
      <c r="I217" s="288"/>
      <c r="J217" s="288" t="s">
        <v>144</v>
      </c>
      <c r="K217" s="288"/>
    </row>
    <row r="218" spans="1:11" ht="27.75" customHeight="1">
      <c r="A218" s="286" t="s">
        <v>512</v>
      </c>
      <c r="B218" s="311" t="s">
        <v>588</v>
      </c>
      <c r="C218" s="286" t="s">
        <v>234</v>
      </c>
      <c r="D218" s="296">
        <f>12000*0.35</f>
        <v>4200</v>
      </c>
      <c r="E218" s="288"/>
      <c r="F218" s="288"/>
      <c r="G218" s="289">
        <v>2690.7999999999997</v>
      </c>
      <c r="H218" s="290"/>
      <c r="I218" s="288"/>
      <c r="J218" s="288" t="s">
        <v>144</v>
      </c>
      <c r="K218" s="288"/>
    </row>
    <row r="219" spans="1:11" ht="51" customHeight="1">
      <c r="A219" s="286" t="s">
        <v>589</v>
      </c>
      <c r="B219" s="286" t="s">
        <v>590</v>
      </c>
      <c r="C219" s="286" t="s">
        <v>407</v>
      </c>
      <c r="D219" s="296">
        <f>472+1885.64</f>
        <v>2357.6400000000003</v>
      </c>
      <c r="E219" s="288"/>
      <c r="F219" s="288"/>
      <c r="G219" s="289">
        <v>2357.64</v>
      </c>
      <c r="H219" s="290"/>
      <c r="I219" s="288"/>
      <c r="J219" s="288" t="s">
        <v>144</v>
      </c>
      <c r="K219" s="288"/>
    </row>
    <row r="220" spans="1:11" ht="27.75" customHeight="1">
      <c r="A220" s="286" t="s">
        <v>591</v>
      </c>
      <c r="B220" s="286" t="s">
        <v>592</v>
      </c>
      <c r="C220" s="286" t="s">
        <v>237</v>
      </c>
      <c r="D220" s="296">
        <v>2862.2</v>
      </c>
      <c r="E220" s="288"/>
      <c r="F220" s="288"/>
      <c r="G220" s="289">
        <v>2862.2</v>
      </c>
      <c r="H220" s="290"/>
      <c r="I220" s="288"/>
      <c r="J220" s="288" t="s">
        <v>144</v>
      </c>
      <c r="K220" s="288"/>
    </row>
    <row r="221" spans="1:11" ht="27.75" customHeight="1">
      <c r="A221" s="286" t="s">
        <v>593</v>
      </c>
      <c r="B221" s="299" t="s">
        <v>594</v>
      </c>
      <c r="C221" s="286" t="s">
        <v>234</v>
      </c>
      <c r="D221" s="296">
        <v>199470</v>
      </c>
      <c r="E221" s="288"/>
      <c r="F221" s="288"/>
      <c r="G221" s="289">
        <v>67822.79000000001</v>
      </c>
      <c r="H221" s="290"/>
      <c r="I221" s="288"/>
      <c r="J221" s="288" t="s">
        <v>144</v>
      </c>
      <c r="K221" s="288"/>
    </row>
    <row r="222" spans="1:11" ht="27.75" customHeight="1">
      <c r="A222" s="286" t="s">
        <v>376</v>
      </c>
      <c r="B222" s="286" t="s">
        <v>595</v>
      </c>
      <c r="C222" s="286" t="s">
        <v>237</v>
      </c>
      <c r="D222" s="296">
        <v>4954</v>
      </c>
      <c r="E222" s="288"/>
      <c r="F222" s="288"/>
      <c r="G222" s="289">
        <v>4954</v>
      </c>
      <c r="H222" s="290"/>
      <c r="I222" s="288"/>
      <c r="J222" s="288" t="s">
        <v>144</v>
      </c>
      <c r="K222" s="288"/>
    </row>
    <row r="223" spans="1:11" ht="27.75" customHeight="1">
      <c r="A223" s="286" t="s">
        <v>267</v>
      </c>
      <c r="B223" s="291" t="s">
        <v>596</v>
      </c>
      <c r="C223" s="286" t="s">
        <v>234</v>
      </c>
      <c r="D223" s="296">
        <v>799</v>
      </c>
      <c r="E223" s="288"/>
      <c r="F223" s="288"/>
      <c r="G223" s="289">
        <v>799</v>
      </c>
      <c r="H223" s="290"/>
      <c r="I223" s="288"/>
      <c r="J223" s="288" t="s">
        <v>144</v>
      </c>
      <c r="K223" s="288"/>
    </row>
    <row r="224" spans="1:11" ht="27.75" customHeight="1">
      <c r="A224" s="299" t="s">
        <v>597</v>
      </c>
      <c r="B224" s="291" t="s">
        <v>598</v>
      </c>
      <c r="C224" s="286" t="s">
        <v>234</v>
      </c>
      <c r="D224" s="296">
        <v>6000</v>
      </c>
      <c r="E224" s="288"/>
      <c r="F224" s="288"/>
      <c r="G224" s="289">
        <v>2000</v>
      </c>
      <c r="H224" s="290"/>
      <c r="I224" s="288"/>
      <c r="J224" s="288" t="s">
        <v>144</v>
      </c>
      <c r="K224" s="288"/>
    </row>
    <row r="225" spans="1:11" ht="27.75" customHeight="1">
      <c r="A225" s="286" t="s">
        <v>504</v>
      </c>
      <c r="B225" s="286" t="s">
        <v>599</v>
      </c>
      <c r="C225" s="286" t="s">
        <v>237</v>
      </c>
      <c r="D225" s="296">
        <v>500</v>
      </c>
      <c r="E225" s="288"/>
      <c r="F225" s="288"/>
      <c r="G225" s="289">
        <v>500</v>
      </c>
      <c r="H225" s="290"/>
      <c r="I225" s="288"/>
      <c r="J225" s="288" t="s">
        <v>144</v>
      </c>
      <c r="K225" s="288"/>
    </row>
    <row r="226" spans="1:11" ht="27.75" customHeight="1">
      <c r="A226" s="286" t="s">
        <v>600</v>
      </c>
      <c r="B226" s="286" t="s">
        <v>601</v>
      </c>
      <c r="C226" s="286" t="s">
        <v>237</v>
      </c>
      <c r="D226" s="296">
        <v>332.1</v>
      </c>
      <c r="E226" s="288"/>
      <c r="F226" s="288"/>
      <c r="G226" s="289">
        <v>332.1</v>
      </c>
      <c r="H226" s="290"/>
      <c r="I226" s="288"/>
      <c r="J226" s="288" t="s">
        <v>144</v>
      </c>
      <c r="K226" s="288"/>
    </row>
    <row r="227" spans="1:11" ht="27.75" customHeight="1">
      <c r="A227" s="286" t="s">
        <v>602</v>
      </c>
      <c r="B227" s="286" t="s">
        <v>603</v>
      </c>
      <c r="C227" s="286" t="s">
        <v>237</v>
      </c>
      <c r="D227" s="296">
        <f>700/0.8</f>
        <v>875</v>
      </c>
      <c r="E227" s="288"/>
      <c r="F227" s="288"/>
      <c r="G227" s="289">
        <v>875</v>
      </c>
      <c r="H227" s="290"/>
      <c r="I227" s="288"/>
      <c r="J227" s="288" t="s">
        <v>144</v>
      </c>
      <c r="K227" s="288"/>
    </row>
    <row r="228" spans="1:11" ht="27.75" customHeight="1">
      <c r="A228" s="286" t="s">
        <v>604</v>
      </c>
      <c r="B228" s="291" t="s">
        <v>605</v>
      </c>
      <c r="C228" s="286" t="s">
        <v>237</v>
      </c>
      <c r="D228" s="296">
        <v>800</v>
      </c>
      <c r="E228" s="288"/>
      <c r="F228" s="288"/>
      <c r="G228" s="289">
        <v>800</v>
      </c>
      <c r="H228" s="290"/>
      <c r="I228" s="288"/>
      <c r="J228" s="288" t="s">
        <v>144</v>
      </c>
      <c r="K228" s="288"/>
    </row>
    <row r="229" spans="1:11" ht="27.75" customHeight="1">
      <c r="A229" s="286" t="s">
        <v>347</v>
      </c>
      <c r="B229" s="286" t="s">
        <v>349</v>
      </c>
      <c r="C229" s="286" t="s">
        <v>237</v>
      </c>
      <c r="D229" s="296">
        <f>900*4</f>
        <v>3600</v>
      </c>
      <c r="E229" s="288"/>
      <c r="F229" s="288"/>
      <c r="G229" s="289">
        <v>2741</v>
      </c>
      <c r="H229" s="290"/>
      <c r="I229" s="288"/>
      <c r="J229" s="288" t="s">
        <v>144</v>
      </c>
      <c r="K229" s="288"/>
    </row>
    <row r="230" spans="1:11" ht="27.75" customHeight="1">
      <c r="A230" s="286" t="s">
        <v>604</v>
      </c>
      <c r="B230" s="291" t="s">
        <v>605</v>
      </c>
      <c r="C230" s="286" t="s">
        <v>237</v>
      </c>
      <c r="D230" s="296">
        <v>230</v>
      </c>
      <c r="E230" s="288"/>
      <c r="F230" s="288"/>
      <c r="G230" s="289">
        <v>230</v>
      </c>
      <c r="H230" s="290"/>
      <c r="I230" s="288"/>
      <c r="J230" s="288" t="s">
        <v>144</v>
      </c>
      <c r="K230" s="288"/>
    </row>
    <row r="231" spans="1:11" ht="37.5" customHeight="1">
      <c r="A231" s="286" t="s">
        <v>451</v>
      </c>
      <c r="B231" s="293" t="s">
        <v>606</v>
      </c>
      <c r="C231" s="286" t="s">
        <v>237</v>
      </c>
      <c r="D231" s="296">
        <f>4*50</f>
        <v>200</v>
      </c>
      <c r="E231" s="288"/>
      <c r="F231" s="288"/>
      <c r="G231" s="289">
        <v>200</v>
      </c>
      <c r="H231" s="290"/>
      <c r="I231" s="288"/>
      <c r="J231" s="288" t="s">
        <v>144</v>
      </c>
      <c r="K231" s="288"/>
    </row>
    <row r="232" spans="1:11" ht="27.75" customHeight="1">
      <c r="A232" s="286" t="s">
        <v>401</v>
      </c>
      <c r="B232" s="293" t="s">
        <v>607</v>
      </c>
      <c r="C232" s="286" t="s">
        <v>237</v>
      </c>
      <c r="D232" s="301">
        <f>130*4</f>
        <v>520</v>
      </c>
      <c r="E232" s="288"/>
      <c r="F232" s="288"/>
      <c r="G232" s="289">
        <v>520</v>
      </c>
      <c r="H232" s="290"/>
      <c r="I232" s="288"/>
      <c r="J232" s="288" t="s">
        <v>144</v>
      </c>
      <c r="K232" s="288"/>
    </row>
    <row r="233" spans="1:11" ht="35.25" customHeight="1">
      <c r="A233" s="286" t="s">
        <v>462</v>
      </c>
      <c r="B233" s="286" t="s">
        <v>608</v>
      </c>
      <c r="C233" s="286" t="s">
        <v>234</v>
      </c>
      <c r="D233" s="301">
        <v>740</v>
      </c>
      <c r="E233" s="288"/>
      <c r="F233" s="288"/>
      <c r="G233" s="289">
        <v>494</v>
      </c>
      <c r="H233" s="290"/>
      <c r="I233" s="288"/>
      <c r="J233" s="288" t="s">
        <v>144</v>
      </c>
      <c r="K233" s="288"/>
    </row>
    <row r="234" spans="1:11" ht="44.25" customHeight="1">
      <c r="A234" s="286" t="s">
        <v>609</v>
      </c>
      <c r="B234" s="286" t="s">
        <v>610</v>
      </c>
      <c r="C234" s="286" t="s">
        <v>234</v>
      </c>
      <c r="D234" s="296">
        <f>2425*3.9+1700*7.05+2140.65</f>
        <v>23583.15</v>
      </c>
      <c r="E234" s="288"/>
      <c r="F234" s="288"/>
      <c r="G234" s="289">
        <v>23583.15</v>
      </c>
      <c r="H234" s="290"/>
      <c r="I234" s="288"/>
      <c r="J234" s="288" t="s">
        <v>144</v>
      </c>
      <c r="K234" s="288"/>
    </row>
    <row r="235" spans="1:11" ht="27.75" customHeight="1">
      <c r="A235" s="286" t="s">
        <v>401</v>
      </c>
      <c r="B235" s="291" t="s">
        <v>402</v>
      </c>
      <c r="C235" s="286" t="s">
        <v>237</v>
      </c>
      <c r="D235" s="301">
        <f>15*10</f>
        <v>150</v>
      </c>
      <c r="E235" s="288"/>
      <c r="F235" s="288"/>
      <c r="G235" s="289">
        <v>150</v>
      </c>
      <c r="H235" s="290"/>
      <c r="I235" s="288"/>
      <c r="J235" s="288" t="s">
        <v>144</v>
      </c>
      <c r="K235" s="288"/>
    </row>
    <row r="236" spans="1:11" ht="27.75" customHeight="1">
      <c r="A236" s="286" t="s">
        <v>611</v>
      </c>
      <c r="B236" s="291" t="s">
        <v>612</v>
      </c>
      <c r="C236" s="286" t="s">
        <v>234</v>
      </c>
      <c r="D236" s="301">
        <v>1500</v>
      </c>
      <c r="E236" s="288"/>
      <c r="F236" s="288"/>
      <c r="G236" s="289">
        <v>1500</v>
      </c>
      <c r="H236" s="290"/>
      <c r="I236" s="288"/>
      <c r="J236" s="288" t="s">
        <v>144</v>
      </c>
      <c r="K236" s="288"/>
    </row>
    <row r="237" spans="1:11" ht="27.75" customHeight="1">
      <c r="A237" s="286" t="s">
        <v>613</v>
      </c>
      <c r="B237" s="291" t="s">
        <v>614</v>
      </c>
      <c r="C237" s="286" t="s">
        <v>237</v>
      </c>
      <c r="D237" s="301">
        <f>1378*0.58</f>
        <v>799.2399999999999</v>
      </c>
      <c r="E237" s="288"/>
      <c r="F237" s="288"/>
      <c r="G237" s="289">
        <v>799.24</v>
      </c>
      <c r="H237" s="290"/>
      <c r="I237" s="288"/>
      <c r="J237" s="288" t="s">
        <v>144</v>
      </c>
      <c r="K237" s="288"/>
    </row>
    <row r="238" spans="1:11" ht="27.75" customHeight="1">
      <c r="A238" s="299" t="s">
        <v>219</v>
      </c>
      <c r="B238" s="293" t="s">
        <v>615</v>
      </c>
      <c r="C238" s="286" t="s">
        <v>237</v>
      </c>
      <c r="D238" s="296">
        <f>6*325-650</f>
        <v>1300</v>
      </c>
      <c r="E238" s="288"/>
      <c r="F238" s="288"/>
      <c r="G238" s="289">
        <v>1300</v>
      </c>
      <c r="H238" s="290"/>
      <c r="I238" s="288"/>
      <c r="J238" s="288" t="s">
        <v>144</v>
      </c>
      <c r="K238" s="288"/>
    </row>
    <row r="239" spans="1:11" ht="41.25" customHeight="1">
      <c r="A239" s="299" t="s">
        <v>459</v>
      </c>
      <c r="B239" s="293" t="s">
        <v>616</v>
      </c>
      <c r="C239" s="286" t="s">
        <v>334</v>
      </c>
      <c r="D239" s="301">
        <v>1268</v>
      </c>
      <c r="E239" s="288"/>
      <c r="F239" s="288"/>
      <c r="G239" s="289">
        <v>1268</v>
      </c>
      <c r="H239" s="290"/>
      <c r="I239" s="288"/>
      <c r="J239" s="288" t="s">
        <v>144</v>
      </c>
      <c r="K239" s="288"/>
    </row>
    <row r="240" spans="1:11" ht="30.75" customHeight="1">
      <c r="A240" s="286" t="s">
        <v>552</v>
      </c>
      <c r="B240" s="293" t="s">
        <v>617</v>
      </c>
      <c r="C240" s="286" t="s">
        <v>237</v>
      </c>
      <c r="D240" s="301">
        <v>278.64</v>
      </c>
      <c r="E240" s="288"/>
      <c r="F240" s="288"/>
      <c r="G240" s="301">
        <v>278.64</v>
      </c>
      <c r="H240" s="290"/>
      <c r="I240" s="288"/>
      <c r="J240" s="288" t="s">
        <v>144</v>
      </c>
      <c r="K240" s="288"/>
    </row>
    <row r="241" spans="1:11" ht="39.75" customHeight="1">
      <c r="A241" s="293" t="s">
        <v>618</v>
      </c>
      <c r="B241" s="286" t="s">
        <v>610</v>
      </c>
      <c r="C241" s="286" t="s">
        <v>234</v>
      </c>
      <c r="D241" s="301">
        <f>2000*3+1800*5.55</f>
        <v>15990</v>
      </c>
      <c r="E241" s="288"/>
      <c r="F241" s="288"/>
      <c r="G241" s="289">
        <v>8586.15</v>
      </c>
      <c r="H241" s="290"/>
      <c r="I241" s="288"/>
      <c r="J241" s="288" t="s">
        <v>144</v>
      </c>
      <c r="K241" s="288"/>
    </row>
    <row r="242" spans="1:11" ht="27.75" customHeight="1">
      <c r="A242" s="302" t="s">
        <v>209</v>
      </c>
      <c r="B242" s="302"/>
      <c r="C242" s="302"/>
      <c r="D242" s="289">
        <f>D122+D123+D124+SUM(D125:D241)</f>
        <v>1421951.6199995999</v>
      </c>
      <c r="E242" s="312"/>
      <c r="F242" s="313"/>
      <c r="G242" s="289">
        <f>G122+G123+G124+SUM(G125:G241)</f>
        <v>1213684.6499999997</v>
      </c>
      <c r="H242" s="289"/>
      <c r="I242" s="306"/>
      <c r="J242" s="306"/>
      <c r="K242" s="307"/>
    </row>
    <row r="243" spans="1:11" ht="27.75" customHeight="1">
      <c r="A243" s="302" t="s">
        <v>17</v>
      </c>
      <c r="B243" s="302"/>
      <c r="C243" s="302"/>
      <c r="D243" s="289">
        <f>D242+D121</f>
        <v>1744672.1499996</v>
      </c>
      <c r="E243" s="312"/>
      <c r="F243" s="313"/>
      <c r="G243" s="289">
        <f>G242+G121</f>
        <v>1502722.6899999997</v>
      </c>
      <c r="H243" s="289"/>
      <c r="I243" s="306"/>
      <c r="J243" s="306"/>
      <c r="K243" s="307"/>
    </row>
    <row r="244" spans="1:11" ht="27.75" customHeight="1">
      <c r="A244" s="314" t="s">
        <v>619</v>
      </c>
      <c r="B244" s="315"/>
      <c r="C244" s="315"/>
      <c r="D244" s="315"/>
      <c r="E244" s="315"/>
      <c r="F244" s="315"/>
      <c r="G244" s="315"/>
      <c r="H244" s="315"/>
      <c r="I244" s="315"/>
      <c r="J244" s="315"/>
      <c r="K244" s="315"/>
    </row>
    <row r="245" spans="1:11" ht="27.75" customHeight="1">
      <c r="A245" s="316" t="s">
        <v>620</v>
      </c>
      <c r="B245" s="317"/>
      <c r="C245" s="317"/>
      <c r="D245" s="317"/>
      <c r="E245" s="317"/>
      <c r="F245" s="317"/>
      <c r="G245" s="317"/>
      <c r="H245" s="317"/>
      <c r="I245" s="317"/>
      <c r="J245" s="317"/>
      <c r="K245" s="317"/>
    </row>
  </sheetData>
  <sheetProtection/>
  <mergeCells count="17">
    <mergeCell ref="A244:K244"/>
    <mergeCell ref="A245:K245"/>
    <mergeCell ref="A121:C121"/>
    <mergeCell ref="E121:F121"/>
    <mergeCell ref="A242:C242"/>
    <mergeCell ref="E242:F242"/>
    <mergeCell ref="A243:C243"/>
    <mergeCell ref="E243:F243"/>
    <mergeCell ref="A1:K1"/>
    <mergeCell ref="A2:K2"/>
    <mergeCell ref="A3:A4"/>
    <mergeCell ref="B3:B4"/>
    <mergeCell ref="C3:C4"/>
    <mergeCell ref="D3:F3"/>
    <mergeCell ref="G3:I3"/>
    <mergeCell ref="J3:J4"/>
    <mergeCell ref="K3:K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M22"/>
  <sheetViews>
    <sheetView view="pageBreakPreview" zoomScale="110" zoomScaleSheetLayoutView="110" zoomScalePageLayoutView="0" workbookViewId="0" topLeftCell="A1">
      <selection activeCell="A3" sqref="A3:D3"/>
    </sheetView>
  </sheetViews>
  <sheetFormatPr defaultColWidth="9.140625" defaultRowHeight="15"/>
  <cols>
    <col min="1" max="1" width="22.28125" style="47" bestFit="1" customWidth="1"/>
    <col min="2" max="2" width="19.140625" style="47" bestFit="1" customWidth="1"/>
    <col min="3" max="3" width="18.421875" style="47" customWidth="1"/>
    <col min="4" max="4" width="13.28125" style="115" bestFit="1" customWidth="1"/>
    <col min="5" max="16384" width="9.140625" style="47" customWidth="1"/>
  </cols>
  <sheetData>
    <row r="1" spans="1:4" ht="15.75">
      <c r="A1" s="171" t="s">
        <v>99</v>
      </c>
      <c r="B1" s="171"/>
      <c r="C1" s="171"/>
      <c r="D1" s="171"/>
    </row>
    <row r="2" spans="1:13" ht="78" customHeight="1">
      <c r="A2" s="169" t="s">
        <v>167</v>
      </c>
      <c r="B2" s="169"/>
      <c r="C2" s="169"/>
      <c r="D2" s="169"/>
      <c r="E2" s="48"/>
      <c r="F2" s="48"/>
      <c r="G2" s="48"/>
      <c r="H2" s="48"/>
      <c r="I2" s="48"/>
      <c r="J2" s="48"/>
      <c r="K2" s="48"/>
      <c r="L2" s="48"/>
      <c r="M2" s="48"/>
    </row>
    <row r="3" spans="1:4" ht="13.5" thickBot="1">
      <c r="A3" s="170" t="s">
        <v>18</v>
      </c>
      <c r="B3" s="170"/>
      <c r="C3" s="170"/>
      <c r="D3" s="170"/>
    </row>
    <row r="4" spans="1:4" s="134" customFormat="1" ht="45" customHeight="1">
      <c r="A4" s="135" t="s">
        <v>36</v>
      </c>
      <c r="B4" s="82" t="s">
        <v>112</v>
      </c>
      <c r="C4" s="136" t="s">
        <v>37</v>
      </c>
      <c r="D4" s="137" t="s">
        <v>38</v>
      </c>
    </row>
    <row r="5" spans="1:4" s="133" customFormat="1" ht="12">
      <c r="A5" s="146"/>
      <c r="B5" s="130"/>
      <c r="C5" s="131"/>
      <c r="D5" s="132"/>
    </row>
    <row r="6" spans="1:4" s="133" customFormat="1" ht="12">
      <c r="A6" s="146"/>
      <c r="B6" s="130"/>
      <c r="C6" s="131"/>
      <c r="D6" s="132"/>
    </row>
    <row r="7" spans="1:4" s="133" customFormat="1" ht="12">
      <c r="A7" s="146"/>
      <c r="B7" s="130"/>
      <c r="C7" s="131"/>
      <c r="D7" s="132"/>
    </row>
    <row r="8" spans="1:4" s="133" customFormat="1" ht="12">
      <c r="A8" s="146"/>
      <c r="B8" s="130"/>
      <c r="C8" s="131"/>
      <c r="D8" s="132"/>
    </row>
    <row r="9" spans="1:4" s="133" customFormat="1" ht="12">
      <c r="A9" s="146"/>
      <c r="B9" s="130"/>
      <c r="C9" s="131"/>
      <c r="D9" s="132"/>
    </row>
    <row r="10" spans="1:4" s="133" customFormat="1" ht="12">
      <c r="A10" s="146"/>
      <c r="B10" s="130"/>
      <c r="C10" s="131"/>
      <c r="D10" s="132"/>
    </row>
    <row r="11" spans="1:4" s="133" customFormat="1" ht="12">
      <c r="A11" s="146"/>
      <c r="B11" s="130"/>
      <c r="C11" s="131"/>
      <c r="D11" s="138"/>
    </row>
    <row r="12" spans="1:4" s="133" customFormat="1" ht="12">
      <c r="A12" s="146"/>
      <c r="B12" s="130"/>
      <c r="C12" s="131"/>
      <c r="D12" s="138"/>
    </row>
    <row r="13" spans="1:4" s="133" customFormat="1" ht="12">
      <c r="A13" s="146"/>
      <c r="B13" s="130"/>
      <c r="C13" s="131"/>
      <c r="D13" s="138"/>
    </row>
    <row r="14" spans="1:4" s="133" customFormat="1" ht="12">
      <c r="A14" s="146"/>
      <c r="B14" s="130"/>
      <c r="C14" s="131"/>
      <c r="D14" s="138"/>
    </row>
    <row r="15" spans="1:4" s="133" customFormat="1" ht="12">
      <c r="A15" s="146"/>
      <c r="B15" s="130"/>
      <c r="C15" s="131"/>
      <c r="D15" s="138"/>
    </row>
    <row r="16" spans="1:4" s="133" customFormat="1" ht="12">
      <c r="A16" s="146"/>
      <c r="B16" s="130"/>
      <c r="C16" s="131"/>
      <c r="D16" s="138"/>
    </row>
    <row r="17" spans="1:4" s="133" customFormat="1" ht="12">
      <c r="A17" s="146"/>
      <c r="B17" s="130"/>
      <c r="C17" s="131"/>
      <c r="D17" s="138"/>
    </row>
    <row r="18" spans="1:4" s="133" customFormat="1" ht="12">
      <c r="A18" s="146"/>
      <c r="B18" s="130"/>
      <c r="C18" s="131"/>
      <c r="D18" s="138"/>
    </row>
    <row r="19" spans="1:4" s="133" customFormat="1" ht="12">
      <c r="A19" s="146"/>
      <c r="B19" s="130"/>
      <c r="C19" s="131"/>
      <c r="D19" s="138"/>
    </row>
    <row r="20" spans="1:4" s="133" customFormat="1" ht="12">
      <c r="A20" s="146"/>
      <c r="B20" s="130"/>
      <c r="C20" s="131"/>
      <c r="D20" s="138"/>
    </row>
    <row r="21" spans="1:4" s="133" customFormat="1" ht="12.75" thickBot="1">
      <c r="A21" s="147"/>
      <c r="B21" s="130"/>
      <c r="C21" s="131"/>
      <c r="D21" s="138"/>
    </row>
    <row r="22" spans="1:4" ht="36.75" customHeight="1">
      <c r="A22" s="172" t="s">
        <v>137</v>
      </c>
      <c r="B22" s="172"/>
      <c r="C22" s="172"/>
      <c r="D22" s="172"/>
    </row>
  </sheetData>
  <sheetProtection/>
  <mergeCells count="4">
    <mergeCell ref="A2:D2"/>
    <mergeCell ref="A3:D3"/>
    <mergeCell ref="A1:D1"/>
    <mergeCell ref="A22:D22"/>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tabColor rgb="FFFFFF00"/>
  </sheetPr>
  <dimension ref="A1:G14"/>
  <sheetViews>
    <sheetView tabSelected="1" view="pageBreakPreview" zoomScale="110" zoomScaleSheetLayoutView="110" zoomScalePageLayoutView="0" workbookViewId="0" topLeftCell="A1">
      <selection activeCell="C7" sqref="C7"/>
    </sheetView>
  </sheetViews>
  <sheetFormatPr defaultColWidth="9.140625" defaultRowHeight="15"/>
  <cols>
    <col min="1" max="1" width="23.28125" style="7" customWidth="1"/>
    <col min="2" max="2" width="31.140625" style="7" customWidth="1"/>
    <col min="3" max="3" width="19.140625" style="7" customWidth="1"/>
    <col min="4" max="4" width="16.28125" style="7" customWidth="1"/>
    <col min="5" max="5" width="20.421875" style="7" customWidth="1"/>
    <col min="6" max="6" width="10.00390625" style="7" bestFit="1" customWidth="1"/>
    <col min="7" max="16384" width="9.140625" style="7" customWidth="1"/>
  </cols>
  <sheetData>
    <row r="1" spans="1:6" s="47" customFormat="1" ht="15.75">
      <c r="A1" s="180" t="s">
        <v>100</v>
      </c>
      <c r="B1" s="180"/>
      <c r="C1" s="180"/>
      <c r="D1" s="180"/>
      <c r="E1" s="180"/>
      <c r="F1" s="180"/>
    </row>
    <row r="2" spans="1:6" ht="44.25" customHeight="1">
      <c r="A2" s="173" t="s">
        <v>145</v>
      </c>
      <c r="B2" s="174"/>
      <c r="C2" s="174"/>
      <c r="D2" s="174"/>
      <c r="E2" s="174"/>
      <c r="F2" s="174"/>
    </row>
    <row r="3" spans="1:6" ht="13.5" thickBot="1">
      <c r="A3" s="179" t="s">
        <v>18</v>
      </c>
      <c r="B3" s="179"/>
      <c r="C3" s="179"/>
      <c r="D3" s="179"/>
      <c r="E3" s="179"/>
      <c r="F3" s="179"/>
    </row>
    <row r="4" spans="1:7" s="8" customFormat="1" ht="45" customHeight="1">
      <c r="A4" s="151" t="s">
        <v>21</v>
      </c>
      <c r="B4" s="152" t="s">
        <v>19</v>
      </c>
      <c r="C4" s="152" t="s">
        <v>20</v>
      </c>
      <c r="D4" s="152" t="s">
        <v>22</v>
      </c>
      <c r="E4" s="152" t="s">
        <v>15</v>
      </c>
      <c r="F4" s="153" t="s">
        <v>16</v>
      </c>
      <c r="G4" s="7"/>
    </row>
    <row r="5" spans="1:6" s="164" customFormat="1" ht="33.75">
      <c r="A5" s="161" t="s">
        <v>170</v>
      </c>
      <c r="B5" s="162" t="s">
        <v>142</v>
      </c>
      <c r="C5" s="254">
        <v>17980</v>
      </c>
      <c r="D5" s="254">
        <v>17980</v>
      </c>
      <c r="E5" s="163" t="s">
        <v>144</v>
      </c>
      <c r="F5" s="139"/>
    </row>
    <row r="6" spans="1:6" s="164" customFormat="1" ht="33.75">
      <c r="A6" s="161" t="s">
        <v>169</v>
      </c>
      <c r="B6" s="162" t="s">
        <v>142</v>
      </c>
      <c r="C6" s="254">
        <v>6900</v>
      </c>
      <c r="D6" s="254">
        <v>6900</v>
      </c>
      <c r="E6" s="163" t="s">
        <v>144</v>
      </c>
      <c r="F6" s="10"/>
    </row>
    <row r="7" spans="1:6" s="164" customFormat="1" ht="33.75">
      <c r="A7" s="161" t="s">
        <v>168</v>
      </c>
      <c r="B7" s="162" t="s">
        <v>143</v>
      </c>
      <c r="C7" s="254">
        <v>46176.9</v>
      </c>
      <c r="D7" s="254">
        <v>36491.4</v>
      </c>
      <c r="E7" s="163" t="s">
        <v>144</v>
      </c>
      <c r="F7" s="10"/>
    </row>
    <row r="8" spans="1:6" ht="18" customHeight="1">
      <c r="A8" s="13"/>
      <c r="B8" s="14"/>
      <c r="C8" s="9"/>
      <c r="D8" s="9"/>
      <c r="E8" s="9"/>
      <c r="F8" s="10"/>
    </row>
    <row r="9" spans="1:6" ht="18" customHeight="1">
      <c r="A9" s="13"/>
      <c r="B9" s="14"/>
      <c r="C9" s="9"/>
      <c r="D9" s="9"/>
      <c r="E9" s="9"/>
      <c r="F9" s="10"/>
    </row>
    <row r="10" spans="1:6" ht="18" customHeight="1">
      <c r="A10" s="13"/>
      <c r="B10" s="14"/>
      <c r="C10" s="9"/>
      <c r="D10" s="9"/>
      <c r="E10" s="9"/>
      <c r="F10" s="10"/>
    </row>
    <row r="11" spans="1:6" ht="18" customHeight="1">
      <c r="A11" s="13"/>
      <c r="B11" s="14"/>
      <c r="C11" s="9"/>
      <c r="D11" s="9"/>
      <c r="E11" s="9"/>
      <c r="F11" s="10"/>
    </row>
    <row r="12" spans="1:7" s="8" customFormat="1" ht="33.75" customHeight="1" thickBot="1">
      <c r="A12" s="175" t="s">
        <v>17</v>
      </c>
      <c r="B12" s="176"/>
      <c r="C12" s="11">
        <f>SUM(C5:C11)</f>
        <v>71056.9</v>
      </c>
      <c r="D12" s="11">
        <f>SUM(D5:D11)</f>
        <v>61371.4</v>
      </c>
      <c r="E12" s="11"/>
      <c r="F12" s="12"/>
      <c r="G12" s="7"/>
    </row>
    <row r="13" spans="1:6" ht="61.5" customHeight="1">
      <c r="A13" s="177" t="s">
        <v>138</v>
      </c>
      <c r="B13" s="178"/>
      <c r="C13" s="178"/>
      <c r="D13" s="178"/>
      <c r="E13" s="178"/>
      <c r="F13" s="178"/>
    </row>
    <row r="14" spans="1:6" ht="28.5" customHeight="1">
      <c r="A14" s="181" t="s">
        <v>139</v>
      </c>
      <c r="B14" s="181"/>
      <c r="C14" s="181"/>
      <c r="D14" s="181"/>
      <c r="E14" s="181"/>
      <c r="F14" s="181"/>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scale="96" r:id="rId1"/>
</worksheet>
</file>

<file path=xl/worksheets/sheet5.xml><?xml version="1.0" encoding="utf-8"?>
<worksheet xmlns="http://schemas.openxmlformats.org/spreadsheetml/2006/main" xmlns:r="http://schemas.openxmlformats.org/officeDocument/2006/relationships">
  <sheetPr>
    <tabColor rgb="FFFFFF00"/>
  </sheetPr>
  <dimension ref="A1:L17"/>
  <sheetViews>
    <sheetView view="pageBreakPreview" zoomScaleSheetLayoutView="100" zoomScalePageLayoutView="0" workbookViewId="0" topLeftCell="A1">
      <selection activeCell="B28" sqref="B28"/>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7" customFormat="1" ht="26.25" customHeight="1">
      <c r="A1" s="191" t="s">
        <v>101</v>
      </c>
      <c r="B1" s="191"/>
      <c r="C1" s="191"/>
      <c r="D1" s="191"/>
      <c r="E1" s="191"/>
      <c r="F1" s="191"/>
      <c r="G1" s="80"/>
      <c r="H1" s="80"/>
      <c r="I1" s="80"/>
      <c r="J1" s="80"/>
      <c r="K1" s="80"/>
      <c r="L1" s="80"/>
    </row>
    <row r="2" spans="1:6" ht="71.25" customHeight="1">
      <c r="A2" s="190" t="s">
        <v>98</v>
      </c>
      <c r="B2" s="190"/>
      <c r="C2" s="190"/>
      <c r="D2" s="190"/>
      <c r="E2" s="190"/>
      <c r="F2" s="190"/>
    </row>
    <row r="3" spans="1:6" ht="15">
      <c r="A3" s="190"/>
      <c r="B3" s="190"/>
      <c r="C3" s="190"/>
      <c r="D3" s="190"/>
      <c r="E3" s="190"/>
      <c r="F3" s="190"/>
    </row>
    <row r="4" spans="1:6" ht="18.75" customHeight="1" thickBot="1">
      <c r="A4" s="189" t="s">
        <v>14</v>
      </c>
      <c r="B4" s="189"/>
      <c r="C4" s="189"/>
      <c r="D4" s="189"/>
      <c r="E4" s="189"/>
      <c r="F4" s="189"/>
    </row>
    <row r="5" spans="1:6" ht="60" customHeight="1">
      <c r="A5" s="65" t="s">
        <v>10</v>
      </c>
      <c r="B5" s="64" t="s">
        <v>3</v>
      </c>
      <c r="C5" s="183"/>
      <c r="D5" s="77" t="s">
        <v>11</v>
      </c>
      <c r="E5" s="77" t="s">
        <v>12</v>
      </c>
      <c r="F5" s="79" t="s">
        <v>13</v>
      </c>
    </row>
    <row r="6" spans="1:6" ht="18" customHeight="1">
      <c r="A6" s="72" t="s">
        <v>96</v>
      </c>
      <c r="B6" s="73" t="s">
        <v>95</v>
      </c>
      <c r="C6" s="184"/>
      <c r="D6" s="1"/>
      <c r="E6" s="1"/>
      <c r="F6" s="2"/>
    </row>
    <row r="7" spans="1:6" ht="15.75" customHeight="1">
      <c r="A7" s="186"/>
      <c r="B7" s="74" t="s">
        <v>4</v>
      </c>
      <c r="C7" s="184"/>
      <c r="D7" s="3"/>
      <c r="E7" s="3"/>
      <c r="F7" s="4"/>
    </row>
    <row r="8" spans="1:6" ht="15.75" customHeight="1">
      <c r="A8" s="187"/>
      <c r="B8" s="75" t="s">
        <v>5</v>
      </c>
      <c r="C8" s="184"/>
      <c r="D8" s="3"/>
      <c r="E8" s="3"/>
      <c r="F8" s="4"/>
    </row>
    <row r="9" spans="1:6" ht="15.75" customHeight="1">
      <c r="A9" s="187"/>
      <c r="B9" s="75" t="s">
        <v>2</v>
      </c>
      <c r="C9" s="184"/>
      <c r="D9" s="3"/>
      <c r="E9" s="3"/>
      <c r="F9" s="4"/>
    </row>
    <row r="10" spans="1:6" ht="15.75" customHeight="1">
      <c r="A10" s="187"/>
      <c r="B10" s="75" t="s">
        <v>6</v>
      </c>
      <c r="C10" s="184"/>
      <c r="D10" s="3"/>
      <c r="E10" s="3"/>
      <c r="F10" s="4"/>
    </row>
    <row r="11" spans="1:6" ht="15.75" customHeight="1">
      <c r="A11" s="187"/>
      <c r="B11" s="75" t="s">
        <v>7</v>
      </c>
      <c r="C11" s="184"/>
      <c r="D11" s="3"/>
      <c r="E11" s="3"/>
      <c r="F11" s="4"/>
    </row>
    <row r="12" spans="1:6" ht="15.75" customHeight="1">
      <c r="A12" s="187"/>
      <c r="B12" s="76" t="s">
        <v>8</v>
      </c>
      <c r="C12" s="184"/>
      <c r="D12" s="3"/>
      <c r="E12" s="3"/>
      <c r="F12" s="4"/>
    </row>
    <row r="13" spans="1:6" ht="15.75" customHeight="1">
      <c r="A13" s="187"/>
      <c r="B13" s="75" t="s">
        <v>0</v>
      </c>
      <c r="C13" s="184"/>
      <c r="D13" s="3"/>
      <c r="E13" s="3"/>
      <c r="F13" s="4"/>
    </row>
    <row r="14" spans="1:6" ht="15.75" customHeight="1">
      <c r="A14" s="187"/>
      <c r="B14" s="74" t="s">
        <v>9</v>
      </c>
      <c r="C14" s="184"/>
      <c r="D14" s="3"/>
      <c r="E14" s="3"/>
      <c r="F14" s="4"/>
    </row>
    <row r="15" spans="1:6" ht="15.75" customHeight="1" thickBot="1">
      <c r="A15" s="188"/>
      <c r="B15" s="78" t="s">
        <v>1</v>
      </c>
      <c r="C15" s="185"/>
      <c r="D15" s="5"/>
      <c r="E15" s="5"/>
      <c r="F15" s="6"/>
    </row>
    <row r="16" spans="1:6" ht="15.75" customHeight="1">
      <c r="A16" s="192" t="s">
        <v>127</v>
      </c>
      <c r="B16" s="192"/>
      <c r="C16" s="192"/>
      <c r="D16" s="192"/>
      <c r="E16" s="192"/>
      <c r="F16" s="192"/>
    </row>
    <row r="17" spans="1:6" ht="15.75" customHeight="1">
      <c r="A17" s="182" t="s">
        <v>124</v>
      </c>
      <c r="B17" s="182"/>
      <c r="C17" s="182"/>
      <c r="D17" s="182"/>
      <c r="E17" s="182"/>
      <c r="F17" s="182"/>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tabColor rgb="FFFFFF00"/>
  </sheetPr>
  <dimension ref="A1:N57"/>
  <sheetViews>
    <sheetView view="pageBreakPreview" zoomScaleSheetLayoutView="100" zoomScalePageLayoutView="0" workbookViewId="0" topLeftCell="A1">
      <pane ySplit="5" topLeftCell="A39" activePane="bottomLeft" state="frozen"/>
      <selection pane="topLeft" activeCell="A1" sqref="A1"/>
      <selection pane="bottomLeft" activeCell="F11" sqref="F11"/>
    </sheetView>
  </sheetViews>
  <sheetFormatPr defaultColWidth="9.140625" defaultRowHeight="15"/>
  <cols>
    <col min="1" max="1" width="46.28125" style="97" bestFit="1" customWidth="1"/>
    <col min="2" max="2" width="12.7109375" style="97" bestFit="1" customWidth="1"/>
    <col min="3" max="3" width="24.421875" style="97" customWidth="1"/>
    <col min="4" max="4" width="10.7109375" style="97" bestFit="1" customWidth="1"/>
    <col min="5" max="5" width="6.00390625" style="97" customWidth="1"/>
    <col min="6" max="6" width="13.421875" style="122" bestFit="1" customWidth="1"/>
    <col min="7" max="7" width="19.28125" style="122" bestFit="1" customWidth="1"/>
    <col min="8" max="8" width="12.140625" style="122" bestFit="1" customWidth="1"/>
    <col min="9" max="9" width="8.421875" style="122" hidden="1" customWidth="1"/>
    <col min="10" max="10" width="13.421875" style="145" bestFit="1" customWidth="1"/>
    <col min="11" max="11" width="19.28125" style="122" bestFit="1" customWidth="1"/>
    <col min="12" max="12" width="10.7109375" style="97" bestFit="1" customWidth="1"/>
    <col min="13" max="13" width="11.57421875" style="97" bestFit="1" customWidth="1"/>
    <col min="14" max="14" width="9.421875" style="97" bestFit="1" customWidth="1"/>
    <col min="15" max="16384" width="9.140625" style="97" customWidth="1"/>
  </cols>
  <sheetData>
    <row r="1" spans="1:12" s="96" customFormat="1" ht="26.25" customHeight="1">
      <c r="A1" s="200" t="s">
        <v>131</v>
      </c>
      <c r="B1" s="200"/>
      <c r="C1" s="200"/>
      <c r="D1" s="200"/>
      <c r="E1" s="200"/>
      <c r="F1" s="200"/>
      <c r="G1" s="200"/>
      <c r="H1" s="200"/>
      <c r="I1" s="200"/>
      <c r="J1" s="200"/>
      <c r="K1" s="200"/>
      <c r="L1" s="200"/>
    </row>
    <row r="2" spans="1:12" ht="71.25" customHeight="1">
      <c r="A2" s="207" t="s">
        <v>146</v>
      </c>
      <c r="B2" s="207"/>
      <c r="C2" s="207"/>
      <c r="D2" s="207"/>
      <c r="E2" s="207"/>
      <c r="F2" s="207"/>
      <c r="G2" s="207"/>
      <c r="H2" s="207"/>
      <c r="I2" s="207"/>
      <c r="J2" s="207"/>
      <c r="K2" s="207"/>
      <c r="L2" s="207"/>
    </row>
    <row r="3" spans="1:12" ht="15.75" thickBot="1">
      <c r="A3" s="208" t="s">
        <v>14</v>
      </c>
      <c r="B3" s="208"/>
      <c r="C3" s="208"/>
      <c r="D3" s="208"/>
      <c r="E3" s="208"/>
      <c r="F3" s="208"/>
      <c r="G3" s="208"/>
      <c r="H3" s="208"/>
      <c r="I3" s="208"/>
      <c r="J3" s="208"/>
      <c r="K3" s="208"/>
      <c r="L3" s="208"/>
    </row>
    <row r="4" spans="1:12" ht="18.75" customHeight="1">
      <c r="A4" s="201" t="s">
        <v>39</v>
      </c>
      <c r="B4" s="199" t="s">
        <v>11</v>
      </c>
      <c r="C4" s="199"/>
      <c r="D4" s="199"/>
      <c r="E4" s="193"/>
      <c r="F4" s="205" t="s">
        <v>12</v>
      </c>
      <c r="G4" s="205"/>
      <c r="H4" s="205"/>
      <c r="I4" s="196"/>
      <c r="J4" s="199" t="s">
        <v>13</v>
      </c>
      <c r="K4" s="199"/>
      <c r="L4" s="206"/>
    </row>
    <row r="5" spans="1:12" ht="60">
      <c r="A5" s="202"/>
      <c r="B5" s="69" t="s">
        <v>93</v>
      </c>
      <c r="C5" s="69" t="s">
        <v>94</v>
      </c>
      <c r="D5" s="69" t="s">
        <v>6</v>
      </c>
      <c r="E5" s="194"/>
      <c r="F5" s="118" t="s">
        <v>93</v>
      </c>
      <c r="G5" s="118" t="s">
        <v>94</v>
      </c>
      <c r="H5" s="128" t="s">
        <v>6</v>
      </c>
      <c r="I5" s="197"/>
      <c r="J5" s="140" t="s">
        <v>93</v>
      </c>
      <c r="K5" s="118" t="s">
        <v>94</v>
      </c>
      <c r="L5" s="70" t="s">
        <v>6</v>
      </c>
    </row>
    <row r="6" spans="1:13" s="101" customFormat="1" ht="18" customHeight="1">
      <c r="A6" s="98" t="s">
        <v>56</v>
      </c>
      <c r="B6" s="116">
        <f>B8</f>
        <v>2500</v>
      </c>
      <c r="C6" s="116">
        <f>C9</f>
        <v>925</v>
      </c>
      <c r="D6" s="99"/>
      <c r="E6" s="194"/>
      <c r="F6" s="116">
        <f>F8</f>
        <v>2485</v>
      </c>
      <c r="G6" s="116">
        <f>G9</f>
        <v>925</v>
      </c>
      <c r="H6" s="116"/>
      <c r="I6" s="197"/>
      <c r="J6" s="141">
        <f>J8</f>
        <v>2429.319415</v>
      </c>
      <c r="K6" s="116">
        <f>K9</f>
        <v>1938.9716499999997</v>
      </c>
      <c r="L6" s="100"/>
      <c r="M6" s="127"/>
    </row>
    <row r="7" spans="1:12" s="104" customFormat="1" ht="15.75" customHeight="1">
      <c r="A7" s="66" t="s">
        <v>57</v>
      </c>
      <c r="B7" s="102"/>
      <c r="C7" s="102"/>
      <c r="D7" s="102"/>
      <c r="E7" s="194"/>
      <c r="F7" s="117"/>
      <c r="G7" s="117"/>
      <c r="H7" s="117"/>
      <c r="I7" s="197"/>
      <c r="J7" s="142"/>
      <c r="K7" s="117"/>
      <c r="L7" s="103"/>
    </row>
    <row r="8" spans="1:12" ht="15.75" customHeight="1">
      <c r="A8" s="105" t="s">
        <v>55</v>
      </c>
      <c r="B8" s="160">
        <f>B20</f>
        <v>2500</v>
      </c>
      <c r="C8" s="106"/>
      <c r="D8" s="106"/>
      <c r="E8" s="194"/>
      <c r="F8" s="117">
        <f>F20</f>
        <v>2485</v>
      </c>
      <c r="G8" s="119"/>
      <c r="H8" s="119"/>
      <c r="I8" s="197"/>
      <c r="J8" s="119">
        <f>J20</f>
        <v>2429.319415</v>
      </c>
      <c r="K8" s="119"/>
      <c r="L8" s="107"/>
    </row>
    <row r="9" spans="1:12" ht="15.75" customHeight="1">
      <c r="A9" s="108" t="s">
        <v>58</v>
      </c>
      <c r="B9" s="106"/>
      <c r="C9" s="117">
        <f>C11+C14+C12+C13</f>
        <v>925</v>
      </c>
      <c r="D9" s="106"/>
      <c r="E9" s="194"/>
      <c r="F9" s="119"/>
      <c r="G9" s="117">
        <f>G11+G14+G12+G13</f>
        <v>925</v>
      </c>
      <c r="H9" s="119"/>
      <c r="I9" s="197"/>
      <c r="J9" s="143"/>
      <c r="K9" s="117">
        <f>K11+K14+K12+K15</f>
        <v>1938.9716499999997</v>
      </c>
      <c r="L9" s="107"/>
    </row>
    <row r="10" spans="1:12" s="104" customFormat="1" ht="15.75" customHeight="1">
      <c r="A10" s="109" t="s">
        <v>59</v>
      </c>
      <c r="B10" s="102"/>
      <c r="C10" s="102"/>
      <c r="D10" s="102"/>
      <c r="E10" s="194"/>
      <c r="F10" s="117"/>
      <c r="G10" s="119"/>
      <c r="H10" s="117"/>
      <c r="I10" s="197"/>
      <c r="J10" s="142"/>
      <c r="K10" s="117"/>
      <c r="L10" s="103"/>
    </row>
    <row r="11" spans="1:12" ht="15.75" customHeight="1">
      <c r="A11" s="110" t="s">
        <v>60</v>
      </c>
      <c r="B11" s="106"/>
      <c r="C11" s="106">
        <f>915000/1000</f>
        <v>915</v>
      </c>
      <c r="D11" s="106"/>
      <c r="E11" s="194"/>
      <c r="F11" s="119"/>
      <c r="G11" s="119">
        <f>915000/1000</f>
        <v>915</v>
      </c>
      <c r="H11" s="119"/>
      <c r="I11" s="197"/>
      <c r="J11" s="143"/>
      <c r="K11" s="119">
        <v>1872.9432699999998</v>
      </c>
      <c r="L11" s="107"/>
    </row>
    <row r="12" spans="1:12" ht="15.75" customHeight="1">
      <c r="A12" s="125" t="s">
        <v>61</v>
      </c>
      <c r="B12" s="106"/>
      <c r="C12" s="106">
        <f>10000/1000</f>
        <v>10</v>
      </c>
      <c r="D12" s="106"/>
      <c r="E12" s="194"/>
      <c r="F12" s="119"/>
      <c r="G12" s="119">
        <f>10000/1000</f>
        <v>10</v>
      </c>
      <c r="H12" s="119"/>
      <c r="I12" s="197"/>
      <c r="J12" s="143"/>
      <c r="K12" s="119">
        <v>64.18515000000001</v>
      </c>
      <c r="L12" s="107"/>
    </row>
    <row r="13" spans="1:12" ht="15.75" customHeight="1">
      <c r="A13" s="110" t="s">
        <v>62</v>
      </c>
      <c r="B13" s="106"/>
      <c r="C13" s="106"/>
      <c r="D13" s="106"/>
      <c r="E13" s="194"/>
      <c r="F13" s="119"/>
      <c r="G13" s="119"/>
      <c r="H13" s="119"/>
      <c r="I13" s="197"/>
      <c r="J13" s="143"/>
      <c r="K13" s="119"/>
      <c r="L13" s="107"/>
    </row>
    <row r="14" spans="1:12" ht="15.75" customHeight="1">
      <c r="A14" s="125" t="s">
        <v>63</v>
      </c>
      <c r="B14" s="106"/>
      <c r="C14" s="106"/>
      <c r="D14" s="106"/>
      <c r="E14" s="194"/>
      <c r="F14" s="119"/>
      <c r="G14" s="119"/>
      <c r="H14" s="119"/>
      <c r="I14" s="197"/>
      <c r="J14" s="143"/>
      <c r="K14" s="119">
        <v>1.84323</v>
      </c>
      <c r="L14" s="107"/>
    </row>
    <row r="15" spans="1:12" ht="15.75" customHeight="1">
      <c r="A15" s="110" t="s">
        <v>134</v>
      </c>
      <c r="B15" s="106"/>
      <c r="C15" s="106"/>
      <c r="D15" s="106"/>
      <c r="E15" s="194"/>
      <c r="F15" s="119"/>
      <c r="G15" s="119"/>
      <c r="H15" s="119"/>
      <c r="I15" s="197"/>
      <c r="J15" s="143"/>
      <c r="K15" s="119"/>
      <c r="L15" s="107"/>
    </row>
    <row r="16" spans="1:12" ht="15.75" customHeight="1">
      <c r="A16" s="108" t="s">
        <v>6</v>
      </c>
      <c r="B16" s="106"/>
      <c r="C16" s="106"/>
      <c r="D16" s="106"/>
      <c r="E16" s="194"/>
      <c r="F16" s="119"/>
      <c r="G16" s="119"/>
      <c r="H16" s="119"/>
      <c r="I16" s="197"/>
      <c r="J16" s="143"/>
      <c r="K16" s="119"/>
      <c r="L16" s="107"/>
    </row>
    <row r="17" spans="1:12" s="104" customFormat="1" ht="15.75" customHeight="1">
      <c r="A17" s="66" t="s">
        <v>64</v>
      </c>
      <c r="B17" s="102"/>
      <c r="C17" s="102"/>
      <c r="D17" s="102"/>
      <c r="E17" s="194"/>
      <c r="F17" s="117"/>
      <c r="G17" s="119"/>
      <c r="H17" s="117"/>
      <c r="I17" s="197"/>
      <c r="J17" s="142"/>
      <c r="K17" s="117"/>
      <c r="L17" s="103"/>
    </row>
    <row r="18" spans="1:12" s="104" customFormat="1" ht="15.75" customHeight="1">
      <c r="A18" s="66" t="s">
        <v>65</v>
      </c>
      <c r="B18" s="102"/>
      <c r="C18" s="102"/>
      <c r="D18" s="102"/>
      <c r="E18" s="194"/>
      <c r="F18" s="117"/>
      <c r="G18" s="119"/>
      <c r="H18" s="117"/>
      <c r="I18" s="197"/>
      <c r="J18" s="142"/>
      <c r="K18" s="117"/>
      <c r="L18" s="103"/>
    </row>
    <row r="19" spans="1:12" s="104" customFormat="1" ht="15.75" customHeight="1">
      <c r="A19" s="66" t="s">
        <v>66</v>
      </c>
      <c r="B19" s="102"/>
      <c r="C19" s="102"/>
      <c r="D19" s="102"/>
      <c r="E19" s="194"/>
      <c r="F19" s="117"/>
      <c r="G19" s="119"/>
      <c r="H19" s="117"/>
      <c r="I19" s="197"/>
      <c r="J19" s="142"/>
      <c r="K19" s="117"/>
      <c r="L19" s="103"/>
    </row>
    <row r="20" spans="1:14" s="101" customFormat="1" ht="15.75" customHeight="1">
      <c r="A20" s="98" t="s">
        <v>67</v>
      </c>
      <c r="B20" s="116">
        <f>B21+B45+B54</f>
        <v>2500</v>
      </c>
      <c r="C20" s="116">
        <f>C21+C45+C54</f>
        <v>1870</v>
      </c>
      <c r="D20" s="99"/>
      <c r="E20" s="194"/>
      <c r="F20" s="116">
        <f>F21+F45+F54</f>
        <v>2485</v>
      </c>
      <c r="G20" s="116">
        <f>G21+G45+G54</f>
        <v>2130.6</v>
      </c>
      <c r="H20" s="116"/>
      <c r="I20" s="197"/>
      <c r="J20" s="116">
        <f>J21+J45+J54</f>
        <v>2429.319415</v>
      </c>
      <c r="K20" s="116">
        <f>K21+K45+K54</f>
        <v>1619.36141</v>
      </c>
      <c r="L20" s="100"/>
      <c r="M20" s="127"/>
      <c r="N20" s="127"/>
    </row>
    <row r="21" spans="1:13" s="104" customFormat="1" ht="15.75" customHeight="1">
      <c r="A21" s="66" t="s">
        <v>68</v>
      </c>
      <c r="B21" s="117">
        <f>B22+B29+B43+B44</f>
        <v>2500</v>
      </c>
      <c r="C21" s="117">
        <f>C29+C43+C44</f>
        <v>1495</v>
      </c>
      <c r="D21" s="102"/>
      <c r="E21" s="194"/>
      <c r="F21" s="117">
        <f>F22+F29+F43+F44</f>
        <v>2485</v>
      </c>
      <c r="G21" s="117">
        <f>G22+G29+G43+G44</f>
        <v>1643.3</v>
      </c>
      <c r="H21" s="117"/>
      <c r="I21" s="197"/>
      <c r="J21" s="117">
        <f>J22+J29+J43+J44</f>
        <v>2429.319415</v>
      </c>
      <c r="K21" s="117">
        <f>K22+K29+K43+K44</f>
        <v>1286.54498</v>
      </c>
      <c r="L21" s="103"/>
      <c r="M21" s="127"/>
    </row>
    <row r="22" spans="1:14" s="104" customFormat="1" ht="15.75" customHeight="1">
      <c r="A22" s="67" t="s">
        <v>5</v>
      </c>
      <c r="B22" s="117">
        <f>B23+B25+B24</f>
        <v>1159</v>
      </c>
      <c r="C22" s="117"/>
      <c r="D22" s="102"/>
      <c r="E22" s="194"/>
      <c r="F22" s="117">
        <f>F23+F25</f>
        <v>963</v>
      </c>
      <c r="G22" s="117"/>
      <c r="H22" s="117"/>
      <c r="I22" s="197"/>
      <c r="J22" s="117">
        <f>J23+J25</f>
        <v>955.8051599999999</v>
      </c>
      <c r="K22" s="117">
        <f>K23+K25</f>
        <v>0</v>
      </c>
      <c r="L22" s="103"/>
      <c r="M22" s="127"/>
      <c r="N22" s="129"/>
    </row>
    <row r="23" spans="1:13" ht="15.75" customHeight="1">
      <c r="A23" s="68" t="s">
        <v>42</v>
      </c>
      <c r="B23" s="119">
        <f>1005840/1000</f>
        <v>1005.84</v>
      </c>
      <c r="C23" s="106"/>
      <c r="D23" s="106"/>
      <c r="E23" s="194"/>
      <c r="F23" s="119">
        <v>801.73</v>
      </c>
      <c r="G23" s="119">
        <v>0</v>
      </c>
      <c r="H23" s="119"/>
      <c r="I23" s="197"/>
      <c r="J23" s="119">
        <v>796.50907</v>
      </c>
      <c r="K23" s="119">
        <v>0</v>
      </c>
      <c r="L23" s="107"/>
      <c r="M23" s="129"/>
    </row>
    <row r="24" spans="1:13" ht="15.75" customHeight="1">
      <c r="A24" s="68" t="s">
        <v>69</v>
      </c>
      <c r="B24" s="119"/>
      <c r="C24" s="106"/>
      <c r="D24" s="106"/>
      <c r="E24" s="194"/>
      <c r="F24" s="119"/>
      <c r="G24" s="119"/>
      <c r="H24" s="119"/>
      <c r="I24" s="197"/>
      <c r="J24" s="119"/>
      <c r="K24" s="119"/>
      <c r="L24" s="107"/>
      <c r="M24" s="127"/>
    </row>
    <row r="25" spans="1:13" ht="15.75" customHeight="1">
      <c r="A25" s="68" t="s">
        <v>44</v>
      </c>
      <c r="B25" s="119">
        <f>153160/1000</f>
        <v>153.16</v>
      </c>
      <c r="C25" s="106"/>
      <c r="D25" s="106"/>
      <c r="E25" s="194"/>
      <c r="F25" s="119">
        <v>161.27</v>
      </c>
      <c r="G25" s="119">
        <v>0</v>
      </c>
      <c r="H25" s="119"/>
      <c r="I25" s="197"/>
      <c r="J25" s="119">
        <v>159.29609</v>
      </c>
      <c r="K25" s="119">
        <v>0</v>
      </c>
      <c r="L25" s="107"/>
      <c r="M25" s="127"/>
    </row>
    <row r="26" spans="1:13" ht="15.75" customHeight="1">
      <c r="A26" s="68" t="s">
        <v>43</v>
      </c>
      <c r="B26" s="106"/>
      <c r="C26" s="106"/>
      <c r="D26" s="106"/>
      <c r="E26" s="194"/>
      <c r="F26" s="119"/>
      <c r="G26" s="119"/>
      <c r="H26" s="119"/>
      <c r="I26" s="197"/>
      <c r="J26" s="119"/>
      <c r="K26" s="119"/>
      <c r="L26" s="107"/>
      <c r="M26" s="127"/>
    </row>
    <row r="27" spans="1:13" ht="15.75" customHeight="1">
      <c r="A27" s="68" t="s">
        <v>70</v>
      </c>
      <c r="B27" s="106"/>
      <c r="C27" s="106"/>
      <c r="D27" s="106"/>
      <c r="E27" s="194"/>
      <c r="F27" s="119"/>
      <c r="G27" s="119"/>
      <c r="H27" s="119"/>
      <c r="I27" s="197"/>
      <c r="J27" s="119"/>
      <c r="K27" s="119"/>
      <c r="L27" s="107"/>
      <c r="M27" s="127"/>
    </row>
    <row r="28" spans="1:13" ht="15.75" customHeight="1">
      <c r="A28" s="68" t="s">
        <v>71</v>
      </c>
      <c r="B28" s="106"/>
      <c r="C28" s="106"/>
      <c r="D28" s="106"/>
      <c r="E28" s="194"/>
      <c r="F28" s="119"/>
      <c r="G28" s="119"/>
      <c r="H28" s="119"/>
      <c r="I28" s="197"/>
      <c r="J28" s="119"/>
      <c r="K28" s="119"/>
      <c r="L28" s="107"/>
      <c r="M28" s="127"/>
    </row>
    <row r="29" spans="1:13" s="104" customFormat="1" ht="15.75" customHeight="1">
      <c r="A29" s="67" t="s">
        <v>2</v>
      </c>
      <c r="B29" s="117">
        <f>B30+B31+B32+B33+B34+B37+B39+B36</f>
        <v>1271</v>
      </c>
      <c r="C29" s="117">
        <f>C30+C31+C32+C33+C34+C37+C39+C36</f>
        <v>1445</v>
      </c>
      <c r="D29" s="102"/>
      <c r="E29" s="194"/>
      <c r="F29" s="117">
        <f>F30+F31+F32+F33+F34+F37+F39+F36</f>
        <v>1520.5</v>
      </c>
      <c r="G29" s="117">
        <f>G30+G31+G32+G33+G34+G37+G39+G36+G35</f>
        <v>1613.3</v>
      </c>
      <c r="H29" s="117"/>
      <c r="I29" s="197"/>
      <c r="J29" s="117">
        <f>J30+J31+J32+J33+J34+J37+J39+J36+J35</f>
        <v>1472.221695</v>
      </c>
      <c r="K29" s="117">
        <f>K30+K31+K32+K33+K34+K37+K39+K36+K35</f>
        <v>1264.77445</v>
      </c>
      <c r="L29" s="103"/>
      <c r="M29" s="127"/>
    </row>
    <row r="30" spans="1:13" ht="15.75" customHeight="1">
      <c r="A30" s="68" t="s">
        <v>72</v>
      </c>
      <c r="B30" s="106">
        <f>540000/1000</f>
        <v>540</v>
      </c>
      <c r="C30" s="106">
        <f>300000/1000</f>
        <v>300</v>
      </c>
      <c r="D30" s="106"/>
      <c r="E30" s="194"/>
      <c r="F30" s="120">
        <v>677.2</v>
      </c>
      <c r="G30" s="119">
        <v>336.4</v>
      </c>
      <c r="H30" s="119"/>
      <c r="I30" s="197"/>
      <c r="J30" s="119">
        <v>670.6035549999999</v>
      </c>
      <c r="K30" s="119">
        <v>320.60537</v>
      </c>
      <c r="L30" s="107"/>
      <c r="M30" s="127"/>
    </row>
    <row r="31" spans="1:13" ht="15.75" customHeight="1">
      <c r="A31" s="68" t="s">
        <v>73</v>
      </c>
      <c r="B31" s="111">
        <f>55000/1000</f>
        <v>55</v>
      </c>
      <c r="C31" s="106">
        <f>10000/1000</f>
        <v>10</v>
      </c>
      <c r="D31" s="106"/>
      <c r="E31" s="194"/>
      <c r="F31" s="120">
        <v>35</v>
      </c>
      <c r="G31" s="119">
        <v>27.6</v>
      </c>
      <c r="H31" s="119"/>
      <c r="I31" s="197"/>
      <c r="J31" s="119">
        <v>34.9997</v>
      </c>
      <c r="K31" s="119">
        <v>24.79</v>
      </c>
      <c r="L31" s="107"/>
      <c r="M31" s="127"/>
    </row>
    <row r="32" spans="1:13" ht="15.75" customHeight="1">
      <c r="A32" s="68" t="s">
        <v>74</v>
      </c>
      <c r="B32" s="106">
        <f>325500/1000</f>
        <v>325.5</v>
      </c>
      <c r="C32" s="106">
        <f>135000/1000</f>
        <v>135</v>
      </c>
      <c r="D32" s="106"/>
      <c r="E32" s="194"/>
      <c r="F32" s="119">
        <v>441.889</v>
      </c>
      <c r="G32" s="119">
        <v>123.1</v>
      </c>
      <c r="H32" s="119"/>
      <c r="I32" s="197"/>
      <c r="J32" s="119">
        <v>440.73931</v>
      </c>
      <c r="K32" s="119">
        <v>53.27632</v>
      </c>
      <c r="L32" s="107"/>
      <c r="M32" s="127"/>
    </row>
    <row r="33" spans="1:13" ht="15.75" customHeight="1">
      <c r="A33" s="68" t="s">
        <v>75</v>
      </c>
      <c r="B33" s="106">
        <f>20000/1000</f>
        <v>20</v>
      </c>
      <c r="C33" s="106">
        <f>25000/1000</f>
        <v>25</v>
      </c>
      <c r="D33" s="106"/>
      <c r="E33" s="194"/>
      <c r="F33" s="119">
        <v>20.5</v>
      </c>
      <c r="G33" s="119">
        <v>10</v>
      </c>
      <c r="H33" s="119"/>
      <c r="I33" s="197"/>
      <c r="J33" s="119">
        <v>20.1641</v>
      </c>
      <c r="K33" s="119">
        <v>2.8769800000000005</v>
      </c>
      <c r="L33" s="107"/>
      <c r="M33" s="127"/>
    </row>
    <row r="34" spans="1:13" ht="15.75" customHeight="1">
      <c r="A34" s="68" t="s">
        <v>76</v>
      </c>
      <c r="B34" s="106">
        <f>32000/1000</f>
        <v>32</v>
      </c>
      <c r="C34" s="106">
        <f>310000/1000</f>
        <v>310</v>
      </c>
      <c r="D34" s="106"/>
      <c r="E34" s="194"/>
      <c r="F34" s="119">
        <v>27.611</v>
      </c>
      <c r="G34" s="119">
        <v>338.5</v>
      </c>
      <c r="H34" s="119"/>
      <c r="I34" s="197"/>
      <c r="J34" s="119">
        <v>27.120439999999995</v>
      </c>
      <c r="K34" s="119">
        <v>283.36499</v>
      </c>
      <c r="L34" s="107"/>
      <c r="M34" s="127"/>
    </row>
    <row r="35" spans="1:13" ht="15.75" customHeight="1">
      <c r="A35" s="68" t="s">
        <v>77</v>
      </c>
      <c r="B35" s="106"/>
      <c r="C35" s="106"/>
      <c r="D35" s="106"/>
      <c r="E35" s="194"/>
      <c r="F35" s="119">
        <v>0</v>
      </c>
      <c r="G35" s="119">
        <v>2</v>
      </c>
      <c r="H35" s="119"/>
      <c r="I35" s="197"/>
      <c r="J35" s="119">
        <v>0</v>
      </c>
      <c r="K35" s="119">
        <v>1.66854</v>
      </c>
      <c r="L35" s="107"/>
      <c r="M35" s="127"/>
    </row>
    <row r="36" spans="1:13" ht="45">
      <c r="A36" s="68" t="s">
        <v>78</v>
      </c>
      <c r="B36" s="106"/>
      <c r="C36" s="106">
        <f>12000/1000</f>
        <v>12</v>
      </c>
      <c r="D36" s="106"/>
      <c r="E36" s="194"/>
      <c r="F36" s="119">
        <v>0</v>
      </c>
      <c r="G36" s="119">
        <v>4.8</v>
      </c>
      <c r="H36" s="119"/>
      <c r="I36" s="197"/>
      <c r="J36" s="119">
        <v>0</v>
      </c>
      <c r="K36" s="119">
        <v>3.6622</v>
      </c>
      <c r="L36" s="107"/>
      <c r="M36" s="127"/>
    </row>
    <row r="37" spans="1:13" ht="45">
      <c r="A37" s="68" t="s">
        <v>79</v>
      </c>
      <c r="B37" s="106">
        <f>5000/1000</f>
        <v>5</v>
      </c>
      <c r="C37" s="106">
        <f>48000/1000</f>
        <v>48</v>
      </c>
      <c r="D37" s="106"/>
      <c r="E37" s="194"/>
      <c r="F37" s="119">
        <v>5</v>
      </c>
      <c r="G37" s="119">
        <v>176</v>
      </c>
      <c r="H37" s="119"/>
      <c r="I37" s="197"/>
      <c r="J37" s="119">
        <v>3.1902600000000003</v>
      </c>
      <c r="K37" s="119">
        <v>170.34618</v>
      </c>
      <c r="L37" s="107"/>
      <c r="M37" s="127"/>
    </row>
    <row r="38" spans="1:13" ht="30">
      <c r="A38" s="68" t="s">
        <v>97</v>
      </c>
      <c r="B38" s="111"/>
      <c r="C38" s="106"/>
      <c r="D38" s="106"/>
      <c r="E38" s="194"/>
      <c r="F38" s="120"/>
      <c r="G38" s="119"/>
      <c r="H38" s="119"/>
      <c r="I38" s="197"/>
      <c r="J38" s="119"/>
      <c r="K38" s="119"/>
      <c r="L38" s="107"/>
      <c r="M38" s="127"/>
    </row>
    <row r="39" spans="1:13" ht="15.75" customHeight="1">
      <c r="A39" s="126" t="s">
        <v>80</v>
      </c>
      <c r="B39" s="111">
        <f>293500/1000</f>
        <v>293.5</v>
      </c>
      <c r="C39" s="106">
        <f>605000/1000</f>
        <v>605</v>
      </c>
      <c r="D39" s="106"/>
      <c r="E39" s="194"/>
      <c r="F39" s="120">
        <v>313.3</v>
      </c>
      <c r="G39" s="119">
        <v>594.9</v>
      </c>
      <c r="H39" s="119"/>
      <c r="I39" s="197"/>
      <c r="J39" s="119">
        <v>275.40433</v>
      </c>
      <c r="K39" s="119">
        <v>404.18387</v>
      </c>
      <c r="L39" s="107"/>
      <c r="M39" s="127"/>
    </row>
    <row r="40" spans="1:13" s="104" customFormat="1" ht="15.75" customHeight="1">
      <c r="A40" s="67" t="s">
        <v>81</v>
      </c>
      <c r="B40" s="102"/>
      <c r="C40" s="102"/>
      <c r="D40" s="102"/>
      <c r="E40" s="194"/>
      <c r="F40" s="117"/>
      <c r="G40" s="117"/>
      <c r="H40" s="117"/>
      <c r="I40" s="197"/>
      <c r="J40" s="117"/>
      <c r="K40" s="117"/>
      <c r="L40" s="103"/>
      <c r="M40" s="127"/>
    </row>
    <row r="41" spans="1:13" s="104" customFormat="1" ht="15.75" customHeight="1">
      <c r="A41" s="67" t="s">
        <v>7</v>
      </c>
      <c r="B41" s="102"/>
      <c r="C41" s="102"/>
      <c r="D41" s="102"/>
      <c r="E41" s="194"/>
      <c r="F41" s="117"/>
      <c r="G41" s="117"/>
      <c r="H41" s="117"/>
      <c r="I41" s="197"/>
      <c r="J41" s="117"/>
      <c r="K41" s="117"/>
      <c r="L41" s="103"/>
      <c r="M41" s="127"/>
    </row>
    <row r="42" spans="1:13" s="104" customFormat="1" ht="15.75" customHeight="1">
      <c r="A42" s="67" t="s">
        <v>6</v>
      </c>
      <c r="B42" s="102"/>
      <c r="C42" s="102"/>
      <c r="D42" s="102"/>
      <c r="E42" s="194"/>
      <c r="F42" s="117"/>
      <c r="G42" s="117"/>
      <c r="H42" s="117"/>
      <c r="I42" s="197"/>
      <c r="J42" s="117"/>
      <c r="K42" s="117"/>
      <c r="L42" s="103"/>
      <c r="M42" s="127"/>
    </row>
    <row r="43" spans="1:13" s="104" customFormat="1" ht="15.75" customHeight="1">
      <c r="A43" s="67" t="s">
        <v>8</v>
      </c>
      <c r="B43" s="102"/>
      <c r="C43" s="102">
        <f>38000/1000</f>
        <v>38</v>
      </c>
      <c r="D43" s="102"/>
      <c r="E43" s="194"/>
      <c r="F43" s="117">
        <v>0</v>
      </c>
      <c r="G43" s="117">
        <v>18</v>
      </c>
      <c r="H43" s="117"/>
      <c r="I43" s="197"/>
      <c r="J43" s="117">
        <v>0</v>
      </c>
      <c r="K43" s="117">
        <v>12.94693</v>
      </c>
      <c r="L43" s="103"/>
      <c r="M43" s="127"/>
    </row>
    <row r="44" spans="1:13" s="104" customFormat="1" ht="15.75" customHeight="1">
      <c r="A44" s="67" t="s">
        <v>0</v>
      </c>
      <c r="B44" s="102">
        <f>70000/1000</f>
        <v>70</v>
      </c>
      <c r="C44" s="102">
        <f>12000/1000</f>
        <v>12</v>
      </c>
      <c r="D44" s="102"/>
      <c r="E44" s="194"/>
      <c r="F44" s="117">
        <f>1500/1000</f>
        <v>1.5</v>
      </c>
      <c r="G44" s="117">
        <v>12</v>
      </c>
      <c r="H44" s="117"/>
      <c r="I44" s="197"/>
      <c r="J44" s="117">
        <v>1.29256</v>
      </c>
      <c r="K44" s="117">
        <v>8.8236</v>
      </c>
      <c r="L44" s="103"/>
      <c r="M44" s="127"/>
    </row>
    <row r="45" spans="1:13" s="104" customFormat="1" ht="15.75" customHeight="1">
      <c r="A45" s="66" t="s">
        <v>82</v>
      </c>
      <c r="B45" s="117">
        <f>B46+B50+B51+B52</f>
        <v>0</v>
      </c>
      <c r="C45" s="117">
        <f>C46+C50+C51+C52</f>
        <v>375</v>
      </c>
      <c r="D45" s="102"/>
      <c r="E45" s="194"/>
      <c r="F45" s="117">
        <f>F46+F50+F51+F52</f>
        <v>0</v>
      </c>
      <c r="G45" s="117">
        <f>G46+G50+G51+G52</f>
        <v>487.3</v>
      </c>
      <c r="H45" s="117"/>
      <c r="I45" s="197"/>
      <c r="J45" s="117">
        <f>J46+J50+J51+J52</f>
        <v>0</v>
      </c>
      <c r="K45" s="117">
        <f>K46+K50+K51+K52</f>
        <v>332.81642999999997</v>
      </c>
      <c r="L45" s="103"/>
      <c r="M45" s="127"/>
    </row>
    <row r="46" spans="1:13" s="104" customFormat="1" ht="15.75" customHeight="1">
      <c r="A46" s="67" t="s">
        <v>83</v>
      </c>
      <c r="B46" s="102">
        <f>B47+B48+B49</f>
        <v>0</v>
      </c>
      <c r="C46" s="102">
        <f>C47+C48+C49</f>
        <v>375</v>
      </c>
      <c r="D46" s="102"/>
      <c r="E46" s="194"/>
      <c r="F46" s="102">
        <f>F47+F48+F49</f>
        <v>0</v>
      </c>
      <c r="G46" s="102">
        <f>G47+G48+G49</f>
        <v>487.3</v>
      </c>
      <c r="H46" s="117"/>
      <c r="I46" s="197"/>
      <c r="J46" s="102">
        <f>J47+J48+J49</f>
        <v>0</v>
      </c>
      <c r="K46" s="102">
        <f>K47+K48+K49</f>
        <v>332.81642999999997</v>
      </c>
      <c r="L46" s="103"/>
      <c r="M46" s="127"/>
    </row>
    <row r="47" spans="1:13" ht="15.75" customHeight="1">
      <c r="A47" s="68" t="s">
        <v>84</v>
      </c>
      <c r="B47" s="106"/>
      <c r="C47" s="112">
        <f>365000/1000</f>
        <v>365</v>
      </c>
      <c r="D47" s="106"/>
      <c r="E47" s="194"/>
      <c r="F47" s="119">
        <v>0</v>
      </c>
      <c r="G47" s="119">
        <v>475</v>
      </c>
      <c r="H47" s="119"/>
      <c r="I47" s="197"/>
      <c r="J47" s="119">
        <v>0</v>
      </c>
      <c r="K47" s="119">
        <v>320.88343</v>
      </c>
      <c r="L47" s="107"/>
      <c r="M47" s="127"/>
    </row>
    <row r="48" spans="1:13" ht="15.75" customHeight="1">
      <c r="A48" s="68" t="s">
        <v>85</v>
      </c>
      <c r="B48" s="106"/>
      <c r="C48" s="106">
        <v>10</v>
      </c>
      <c r="D48" s="106"/>
      <c r="E48" s="194"/>
      <c r="F48" s="119">
        <v>0</v>
      </c>
      <c r="G48" s="119">
        <v>12.3</v>
      </c>
      <c r="H48" s="119"/>
      <c r="I48" s="197"/>
      <c r="J48" s="119">
        <v>0</v>
      </c>
      <c r="K48" s="119">
        <v>11.933</v>
      </c>
      <c r="L48" s="107"/>
      <c r="M48" s="127"/>
    </row>
    <row r="49" spans="1:13" ht="15.75" customHeight="1">
      <c r="A49" s="68" t="s">
        <v>86</v>
      </c>
      <c r="B49" s="106"/>
      <c r="C49" s="106"/>
      <c r="D49" s="106"/>
      <c r="E49" s="194"/>
      <c r="F49" s="119"/>
      <c r="G49" s="119"/>
      <c r="H49" s="119"/>
      <c r="I49" s="197"/>
      <c r="J49" s="119"/>
      <c r="K49" s="119"/>
      <c r="L49" s="107"/>
      <c r="M49" s="127"/>
    </row>
    <row r="50" spans="1:13" s="104" customFormat="1" ht="15.75" customHeight="1">
      <c r="A50" s="67" t="s">
        <v>87</v>
      </c>
      <c r="B50" s="102"/>
      <c r="C50" s="102"/>
      <c r="D50" s="102"/>
      <c r="E50" s="194"/>
      <c r="F50" s="117"/>
      <c r="G50" s="117"/>
      <c r="H50" s="117"/>
      <c r="I50" s="197"/>
      <c r="J50" s="117"/>
      <c r="K50" s="117"/>
      <c r="L50" s="103"/>
      <c r="M50" s="127"/>
    </row>
    <row r="51" spans="1:13" s="104" customFormat="1" ht="15.75" customHeight="1">
      <c r="A51" s="67" t="s">
        <v>88</v>
      </c>
      <c r="B51" s="102"/>
      <c r="C51" s="102"/>
      <c r="D51" s="102"/>
      <c r="E51" s="194"/>
      <c r="F51" s="117"/>
      <c r="G51" s="117"/>
      <c r="H51" s="117"/>
      <c r="I51" s="197"/>
      <c r="J51" s="117"/>
      <c r="K51" s="117"/>
      <c r="L51" s="103"/>
      <c r="M51" s="127"/>
    </row>
    <row r="52" spans="1:13" s="104" customFormat="1" ht="15.75" customHeight="1">
      <c r="A52" s="67" t="s">
        <v>89</v>
      </c>
      <c r="B52" s="102"/>
      <c r="C52" s="102"/>
      <c r="D52" s="102"/>
      <c r="E52" s="194"/>
      <c r="F52" s="117"/>
      <c r="G52" s="117"/>
      <c r="H52" s="117"/>
      <c r="I52" s="197"/>
      <c r="J52" s="117"/>
      <c r="K52" s="117"/>
      <c r="L52" s="103"/>
      <c r="M52" s="127"/>
    </row>
    <row r="53" spans="1:13" s="104" customFormat="1" ht="15.75" customHeight="1">
      <c r="A53" s="66" t="s">
        <v>90</v>
      </c>
      <c r="B53" s="102"/>
      <c r="C53" s="102"/>
      <c r="D53" s="102"/>
      <c r="E53" s="194"/>
      <c r="F53" s="117"/>
      <c r="G53" s="117"/>
      <c r="H53" s="117"/>
      <c r="I53" s="197"/>
      <c r="J53" s="117"/>
      <c r="K53" s="117"/>
      <c r="L53" s="103"/>
      <c r="M53" s="127"/>
    </row>
    <row r="54" spans="1:13" s="104" customFormat="1" ht="15.75" customHeight="1">
      <c r="A54" s="66" t="s">
        <v>91</v>
      </c>
      <c r="B54" s="102"/>
      <c r="C54" s="102"/>
      <c r="D54" s="102"/>
      <c r="E54" s="194"/>
      <c r="F54" s="117"/>
      <c r="G54" s="117"/>
      <c r="H54" s="117"/>
      <c r="I54" s="197"/>
      <c r="J54" s="117"/>
      <c r="K54" s="117"/>
      <c r="L54" s="103"/>
      <c r="M54" s="127"/>
    </row>
    <row r="55" spans="1:13" s="101" customFormat="1" ht="16.5" customHeight="1" thickBot="1">
      <c r="A55" s="71" t="s">
        <v>92</v>
      </c>
      <c r="B55" s="121">
        <f>B6-B20</f>
        <v>0</v>
      </c>
      <c r="C55" s="121">
        <f>C6-C20</f>
        <v>-945</v>
      </c>
      <c r="D55" s="113"/>
      <c r="E55" s="195"/>
      <c r="F55" s="121">
        <f>F6-F20</f>
        <v>0</v>
      </c>
      <c r="G55" s="121">
        <f>G6-G20</f>
        <v>-1205.6</v>
      </c>
      <c r="H55" s="121"/>
      <c r="I55" s="198"/>
      <c r="J55" s="144">
        <f>J6-J20</f>
        <v>0</v>
      </c>
      <c r="K55" s="121">
        <f>K6-K20</f>
        <v>319.61023999999975</v>
      </c>
      <c r="L55" s="114"/>
      <c r="M55" s="127"/>
    </row>
    <row r="56" spans="1:13" ht="32.25" customHeight="1">
      <c r="A56" s="203" t="s">
        <v>132</v>
      </c>
      <c r="B56" s="203"/>
      <c r="C56" s="203"/>
      <c r="D56" s="203"/>
      <c r="E56" s="203"/>
      <c r="F56" s="203"/>
      <c r="G56" s="203"/>
      <c r="H56" s="203"/>
      <c r="I56" s="203"/>
      <c r="J56" s="203"/>
      <c r="K56" s="203"/>
      <c r="L56" s="203"/>
      <c r="M56" s="127"/>
    </row>
    <row r="57" spans="1:13" ht="32.25" customHeight="1">
      <c r="A57" s="204" t="s">
        <v>133</v>
      </c>
      <c r="B57" s="204"/>
      <c r="C57" s="204"/>
      <c r="D57" s="204"/>
      <c r="E57" s="204"/>
      <c r="F57" s="204"/>
      <c r="G57" s="204"/>
      <c r="H57" s="204"/>
      <c r="I57" s="204"/>
      <c r="J57" s="204"/>
      <c r="K57" s="204"/>
      <c r="L57" s="204"/>
      <c r="M57" s="127"/>
    </row>
  </sheetData>
  <sheetProtection/>
  <mergeCells count="11">
    <mergeCell ref="A57:L57"/>
    <mergeCell ref="F4:H4"/>
    <mergeCell ref="J4:L4"/>
    <mergeCell ref="A2:L2"/>
    <mergeCell ref="A3:L3"/>
    <mergeCell ref="E4:E55"/>
    <mergeCell ref="I4:I55"/>
    <mergeCell ref="B4:D4"/>
    <mergeCell ref="A1:L1"/>
    <mergeCell ref="A4:A5"/>
    <mergeCell ref="A56:L56"/>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tabColor rgb="FFFFFF00"/>
  </sheetPr>
  <dimension ref="A1:O12"/>
  <sheetViews>
    <sheetView view="pageBreakPreview" zoomScale="110" zoomScaleSheetLayoutView="110" zoomScalePageLayoutView="0" workbookViewId="0" topLeftCell="A1">
      <selection activeCell="B6" sqref="B6:M9"/>
    </sheetView>
  </sheetViews>
  <sheetFormatPr defaultColWidth="9.140625" defaultRowHeight="15"/>
  <cols>
    <col min="1" max="1" width="23.28125" style="47" bestFit="1" customWidth="1"/>
    <col min="2" max="2" width="11.00390625" style="47" bestFit="1" customWidth="1"/>
    <col min="3" max="3" width="11.421875" style="47" bestFit="1" customWidth="1"/>
    <col min="4" max="4" width="11.8515625" style="47" bestFit="1" customWidth="1"/>
    <col min="5" max="9" width="12.00390625" style="47" bestFit="1" customWidth="1"/>
    <col min="10" max="13" width="13.421875" style="47" bestFit="1" customWidth="1"/>
    <col min="14" max="14" width="10.7109375" style="47" bestFit="1" customWidth="1"/>
    <col min="15" max="16384" width="9.140625" style="47" customWidth="1"/>
  </cols>
  <sheetData>
    <row r="1" spans="1:14" ht="31.5" customHeight="1">
      <c r="A1" s="180" t="s">
        <v>102</v>
      </c>
      <c r="B1" s="180"/>
      <c r="C1" s="180"/>
      <c r="D1" s="180"/>
      <c r="E1" s="180"/>
      <c r="F1" s="180"/>
      <c r="G1" s="180"/>
      <c r="H1" s="180"/>
      <c r="I1" s="180"/>
      <c r="J1" s="180"/>
      <c r="K1" s="180"/>
      <c r="L1" s="180"/>
      <c r="M1" s="180"/>
      <c r="N1" s="81"/>
    </row>
    <row r="2" spans="1:13" ht="82.5" customHeight="1">
      <c r="A2" s="169" t="s">
        <v>147</v>
      </c>
      <c r="B2" s="169"/>
      <c r="C2" s="169"/>
      <c r="D2" s="169"/>
      <c r="E2" s="169"/>
      <c r="F2" s="169"/>
      <c r="G2" s="169"/>
      <c r="H2" s="169"/>
      <c r="I2" s="169"/>
      <c r="J2" s="169"/>
      <c r="K2" s="169"/>
      <c r="L2" s="169"/>
      <c r="M2" s="169"/>
    </row>
    <row r="3" spans="1:13" ht="19.5" customHeight="1" thickBot="1">
      <c r="A3" s="170" t="s">
        <v>18</v>
      </c>
      <c r="B3" s="170"/>
      <c r="C3" s="170"/>
      <c r="D3" s="170"/>
      <c r="E3" s="170"/>
      <c r="F3" s="170"/>
      <c r="G3" s="170"/>
      <c r="H3" s="170"/>
      <c r="I3" s="170"/>
      <c r="J3" s="170"/>
      <c r="K3" s="170"/>
      <c r="L3" s="170"/>
      <c r="M3" s="170"/>
    </row>
    <row r="4" spans="1:13" s="53" customFormat="1" ht="15" customHeight="1">
      <c r="A4" s="214" t="s">
        <v>39</v>
      </c>
      <c r="B4" s="211" t="s">
        <v>40</v>
      </c>
      <c r="C4" s="212"/>
      <c r="D4" s="212"/>
      <c r="E4" s="213"/>
      <c r="F4" s="211" t="s">
        <v>119</v>
      </c>
      <c r="G4" s="212"/>
      <c r="H4" s="212"/>
      <c r="I4" s="213"/>
      <c r="J4" s="211" t="s">
        <v>41</v>
      </c>
      <c r="K4" s="212"/>
      <c r="L4" s="212"/>
      <c r="M4" s="213"/>
    </row>
    <row r="5" spans="1:13" s="53" customFormat="1" ht="15" customHeight="1">
      <c r="A5" s="215"/>
      <c r="B5" s="91" t="s">
        <v>115</v>
      </c>
      <c r="C5" s="86" t="s">
        <v>116</v>
      </c>
      <c r="D5" s="86" t="s">
        <v>117</v>
      </c>
      <c r="E5" s="89" t="s">
        <v>118</v>
      </c>
      <c r="F5" s="91" t="s">
        <v>115</v>
      </c>
      <c r="G5" s="86" t="s">
        <v>116</v>
      </c>
      <c r="H5" s="86" t="s">
        <v>117</v>
      </c>
      <c r="I5" s="89" t="s">
        <v>118</v>
      </c>
      <c r="J5" s="124" t="s">
        <v>115</v>
      </c>
      <c r="K5" s="86" t="s">
        <v>116</v>
      </c>
      <c r="L5" s="86" t="s">
        <v>117</v>
      </c>
      <c r="M5" s="89" t="s">
        <v>118</v>
      </c>
    </row>
    <row r="6" spans="1:15" s="155" customFormat="1" ht="29.25" customHeight="1">
      <c r="A6" s="95" t="s">
        <v>42</v>
      </c>
      <c r="B6" s="255">
        <f>3400*3</f>
        <v>10200</v>
      </c>
      <c r="C6" s="255">
        <f>3400*3</f>
        <v>10200</v>
      </c>
      <c r="D6" s="255">
        <f>7881.82+1545.45</f>
        <v>9427.27</v>
      </c>
      <c r="E6" s="255">
        <f>7881.82+1545.45</f>
        <v>9427.27</v>
      </c>
      <c r="F6" s="255">
        <f>196450.54-B6</f>
        <v>186250.54</v>
      </c>
      <c r="G6" s="255">
        <f>200728.41-C6</f>
        <v>190528.41</v>
      </c>
      <c r="H6" s="255">
        <f>200729.63-D6</f>
        <v>191302.36000000002</v>
      </c>
      <c r="I6" s="255">
        <f>198600.49-E6</f>
        <v>189173.22</v>
      </c>
      <c r="J6" s="255">
        <f>F6+B6</f>
        <v>196450.54</v>
      </c>
      <c r="K6" s="255">
        <f>G6+C6</f>
        <v>200728.41</v>
      </c>
      <c r="L6" s="255">
        <f>H6+D6</f>
        <v>200729.63</v>
      </c>
      <c r="M6" s="255">
        <f>I6+E6</f>
        <v>198600.49</v>
      </c>
      <c r="O6" s="156"/>
    </row>
    <row r="7" spans="1:13" ht="29.25" customHeight="1">
      <c r="A7" s="95" t="s">
        <v>43</v>
      </c>
      <c r="B7" s="256"/>
      <c r="C7" s="256"/>
      <c r="D7" s="256"/>
      <c r="E7" s="256"/>
      <c r="F7" s="256"/>
      <c r="G7" s="256"/>
      <c r="H7" s="256"/>
      <c r="I7" s="256"/>
      <c r="J7" s="256"/>
      <c r="K7" s="256"/>
      <c r="L7" s="256"/>
      <c r="M7" s="256">
        <f>I7+E7</f>
        <v>0</v>
      </c>
    </row>
    <row r="8" spans="1:13" ht="29.25" customHeight="1">
      <c r="A8" s="95" t="s">
        <v>44</v>
      </c>
      <c r="B8" s="256"/>
      <c r="C8" s="256">
        <v>3400</v>
      </c>
      <c r="D8" s="256">
        <v>6800</v>
      </c>
      <c r="E8" s="256"/>
      <c r="F8" s="256"/>
      <c r="G8" s="256">
        <f>70770-C8</f>
        <v>67370</v>
      </c>
      <c r="H8" s="256">
        <f>71570-D8</f>
        <v>64770</v>
      </c>
      <c r="I8" s="255">
        <f>16956.09-E8</f>
        <v>16956.09</v>
      </c>
      <c r="J8" s="256">
        <f>F8+B8</f>
        <v>0</v>
      </c>
      <c r="K8" s="256">
        <f>G8+C8</f>
        <v>70770</v>
      </c>
      <c r="L8" s="256">
        <f>H8+D8</f>
        <v>71570</v>
      </c>
      <c r="M8" s="256">
        <f>I8+E8</f>
        <v>16956.09</v>
      </c>
    </row>
    <row r="9" spans="1:14" s="52" customFormat="1" ht="29.25" customHeight="1" thickBot="1">
      <c r="A9" s="90" t="s">
        <v>17</v>
      </c>
      <c r="B9" s="167">
        <f>SUM(B6:B8)</f>
        <v>10200</v>
      </c>
      <c r="C9" s="167">
        <f aca="true" t="shared" si="0" ref="C9:I9">SUM(C6:C8)</f>
        <v>13600</v>
      </c>
      <c r="D9" s="167">
        <f t="shared" si="0"/>
        <v>16227.27</v>
      </c>
      <c r="E9" s="167">
        <f t="shared" si="0"/>
        <v>9427.27</v>
      </c>
      <c r="F9" s="167">
        <f t="shared" si="0"/>
        <v>186250.54</v>
      </c>
      <c r="G9" s="167">
        <f t="shared" si="0"/>
        <v>257898.41</v>
      </c>
      <c r="H9" s="167">
        <f t="shared" si="0"/>
        <v>256072.36000000002</v>
      </c>
      <c r="I9" s="257">
        <f t="shared" si="0"/>
        <v>206129.31</v>
      </c>
      <c r="J9" s="258">
        <f>SUM(J6:J8)</f>
        <v>196450.54</v>
      </c>
      <c r="K9" s="259">
        <f>SUM(K6:K8)</f>
        <v>271498.41000000003</v>
      </c>
      <c r="L9" s="260">
        <f>SUM(L6:L8)</f>
        <v>272299.63</v>
      </c>
      <c r="M9" s="260">
        <f>SUM(M6:M8)</f>
        <v>215556.58</v>
      </c>
      <c r="N9" s="123"/>
    </row>
    <row r="10" spans="1:14" ht="76.5" customHeight="1">
      <c r="A10" s="216" t="s">
        <v>135</v>
      </c>
      <c r="B10" s="217"/>
      <c r="C10" s="217"/>
      <c r="D10" s="217"/>
      <c r="E10" s="217"/>
      <c r="F10" s="217"/>
      <c r="G10" s="217"/>
      <c r="H10" s="217"/>
      <c r="I10" s="217"/>
      <c r="J10" s="217"/>
      <c r="K10" s="217"/>
      <c r="L10" s="217"/>
      <c r="M10" s="217"/>
      <c r="N10" s="94"/>
    </row>
    <row r="11" spans="1:14" ht="60" customHeight="1">
      <c r="A11" s="209" t="s">
        <v>136</v>
      </c>
      <c r="B11" s="210"/>
      <c r="C11" s="210"/>
      <c r="D11" s="210"/>
      <c r="E11" s="210"/>
      <c r="F11" s="210"/>
      <c r="G11" s="210"/>
      <c r="H11" s="210"/>
      <c r="I11" s="210"/>
      <c r="J11" s="210"/>
      <c r="K11" s="210"/>
      <c r="L11" s="210"/>
      <c r="M11" s="210"/>
      <c r="N11" s="94"/>
    </row>
    <row r="12" ht="12.75">
      <c r="N12" s="94"/>
    </row>
  </sheetData>
  <sheetProtection/>
  <mergeCells count="9">
    <mergeCell ref="A2:M2"/>
    <mergeCell ref="A3:M3"/>
    <mergeCell ref="A1:M1"/>
    <mergeCell ref="A11:M11"/>
    <mergeCell ref="B4:E4"/>
    <mergeCell ref="F4:I4"/>
    <mergeCell ref="J4:M4"/>
    <mergeCell ref="A4:A5"/>
    <mergeCell ref="A10:M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sheetPr>
    <tabColor rgb="FFFFFF00"/>
  </sheetPr>
  <dimension ref="A1:E9"/>
  <sheetViews>
    <sheetView view="pageBreakPreview" zoomScale="120" zoomScaleSheetLayoutView="120" zoomScalePageLayoutView="0" workbookViewId="0" topLeftCell="A1">
      <selection activeCell="C16" sqref="C16"/>
    </sheetView>
  </sheetViews>
  <sheetFormatPr defaultColWidth="9.140625" defaultRowHeight="15"/>
  <cols>
    <col min="1" max="1" width="31.140625" style="47" customWidth="1"/>
    <col min="2" max="2" width="19.00390625" style="47" customWidth="1"/>
    <col min="3" max="3" width="22.421875" style="47" customWidth="1"/>
    <col min="4" max="4" width="14.28125" style="47" customWidth="1"/>
    <col min="5" max="5" width="9.7109375" style="47" bestFit="1" customWidth="1"/>
    <col min="6" max="16384" width="9.140625" style="47" customWidth="1"/>
  </cols>
  <sheetData>
    <row r="1" spans="1:5" ht="15.75">
      <c r="A1" s="171" t="s">
        <v>103</v>
      </c>
      <c r="B1" s="171"/>
      <c r="C1" s="171"/>
      <c r="D1" s="171"/>
      <c r="E1" s="81"/>
    </row>
    <row r="2" spans="1:4" ht="36" customHeight="1">
      <c r="A2" s="218" t="s">
        <v>148</v>
      </c>
      <c r="B2" s="218"/>
      <c r="C2" s="218"/>
      <c r="D2" s="218"/>
    </row>
    <row r="3" spans="1:4" ht="11.25" customHeight="1" thickBot="1">
      <c r="A3" s="170" t="s">
        <v>18</v>
      </c>
      <c r="B3" s="170"/>
      <c r="C3" s="170"/>
      <c r="D3" s="170"/>
    </row>
    <row r="4" spans="1:4" s="53" customFormat="1" ht="25.5">
      <c r="A4" s="135" t="s">
        <v>39</v>
      </c>
      <c r="B4" s="136" t="s">
        <v>40</v>
      </c>
      <c r="C4" s="136" t="s">
        <v>119</v>
      </c>
      <c r="D4" s="137" t="s">
        <v>41</v>
      </c>
    </row>
    <row r="5" spans="1:4" s="155" customFormat="1" ht="21" customHeight="1">
      <c r="A5" s="54" t="s">
        <v>45</v>
      </c>
      <c r="B5" s="154"/>
      <c r="C5" s="148">
        <v>58066</v>
      </c>
      <c r="D5" s="149">
        <f>B5+C5</f>
        <v>58066</v>
      </c>
    </row>
    <row r="6" spans="1:5" s="155" customFormat="1" ht="21" customHeight="1">
      <c r="A6" s="54" t="s">
        <v>46</v>
      </c>
      <c r="B6" s="154">
        <v>783.5</v>
      </c>
      <c r="C6" s="148">
        <v>940.2</v>
      </c>
      <c r="D6" s="149">
        <f>B6+C6</f>
        <v>1723.7</v>
      </c>
      <c r="E6" s="156"/>
    </row>
    <row r="7" spans="1:5" s="159" customFormat="1" ht="21" customHeight="1" thickBot="1">
      <c r="A7" s="157" t="s">
        <v>17</v>
      </c>
      <c r="B7" s="150">
        <f>SUM(B5:B6)</f>
        <v>783.5</v>
      </c>
      <c r="C7" s="150">
        <f>SUM(C5:C6)</f>
        <v>59006.2</v>
      </c>
      <c r="D7" s="150">
        <f>SUM(D5:D6)</f>
        <v>59789.7</v>
      </c>
      <c r="E7" s="158"/>
    </row>
    <row r="8" spans="1:5" s="52" customFormat="1" ht="71.25" customHeight="1">
      <c r="A8" s="221" t="s">
        <v>141</v>
      </c>
      <c r="B8" s="221"/>
      <c r="C8" s="221"/>
      <c r="D8" s="221"/>
      <c r="E8" s="123"/>
    </row>
    <row r="9" spans="1:4" ht="58.5" customHeight="1">
      <c r="A9" s="219" t="s">
        <v>140</v>
      </c>
      <c r="B9" s="220"/>
      <c r="C9" s="220"/>
      <c r="D9" s="220"/>
    </row>
  </sheetData>
  <sheetProtection/>
  <mergeCells count="5">
    <mergeCell ref="A2:D2"/>
    <mergeCell ref="A3:D3"/>
    <mergeCell ref="A1:D1"/>
    <mergeCell ref="A9:D9"/>
    <mergeCell ref="A8:D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FFFF00"/>
  </sheetPr>
  <dimension ref="A1:AV10"/>
  <sheetViews>
    <sheetView view="pageBreakPreview" zoomScale="110" zoomScaleSheetLayoutView="110" zoomScalePageLayoutView="0" workbookViewId="0" topLeftCell="A1">
      <selection activeCell="A10" sqref="A10:C10"/>
    </sheetView>
  </sheetViews>
  <sheetFormatPr defaultColWidth="9.140625" defaultRowHeight="15"/>
  <cols>
    <col min="1" max="1" width="3.00390625" style="56" bestFit="1" customWidth="1"/>
    <col min="2" max="2" width="30.140625" style="56" customWidth="1"/>
    <col min="3" max="3" width="29.8515625" style="56" customWidth="1"/>
    <col min="4" max="16384" width="9.140625" style="56" customWidth="1"/>
  </cols>
  <sheetData>
    <row r="1" spans="1:4" ht="27" customHeight="1">
      <c r="A1" s="180" t="s">
        <v>104</v>
      </c>
      <c r="B1" s="180"/>
      <c r="C1" s="180"/>
      <c r="D1" s="81"/>
    </row>
    <row r="2" spans="1:6" s="29" customFormat="1" ht="78.75" customHeight="1" thickBot="1">
      <c r="A2" s="222" t="s">
        <v>149</v>
      </c>
      <c r="B2" s="222"/>
      <c r="C2" s="222"/>
      <c r="E2" s="58"/>
      <c r="F2" s="58"/>
    </row>
    <row r="3" spans="1:3" s="59" customFormat="1" ht="31.5" customHeight="1">
      <c r="A3" s="83" t="s">
        <v>24</v>
      </c>
      <c r="B3" s="84" t="s">
        <v>48</v>
      </c>
      <c r="C3" s="85" t="s">
        <v>47</v>
      </c>
    </row>
    <row r="4" spans="1:48" s="57" customFormat="1" ht="13.5">
      <c r="A4" s="165">
        <v>1</v>
      </c>
      <c r="B4" s="166" t="s">
        <v>150</v>
      </c>
      <c r="C4" s="166">
        <v>2014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row>
    <row r="5" spans="1:48" s="57" customFormat="1" ht="13.5">
      <c r="A5" s="165">
        <v>2</v>
      </c>
      <c r="B5" s="166" t="s">
        <v>151</v>
      </c>
      <c r="C5" s="166">
        <v>2012</v>
      </c>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row>
    <row r="6" spans="1:48" s="57" customFormat="1" ht="13.5">
      <c r="A6" s="165">
        <v>3</v>
      </c>
      <c r="B6" s="166" t="s">
        <v>152</v>
      </c>
      <c r="C6" s="166">
        <v>2013</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row>
    <row r="7" spans="1:48" s="57" customFormat="1" ht="13.5">
      <c r="A7" s="165">
        <v>4</v>
      </c>
      <c r="B7" s="166" t="s">
        <v>150</v>
      </c>
      <c r="C7" s="166">
        <v>2015</v>
      </c>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row>
    <row r="8" spans="1:48" s="57" customFormat="1" ht="13.5">
      <c r="A8" s="165">
        <v>5</v>
      </c>
      <c r="B8" s="166" t="s">
        <v>153</v>
      </c>
      <c r="C8" s="166">
        <v>2015</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row>
    <row r="9" spans="1:48" s="57" customFormat="1" ht="14.25" thickBot="1">
      <c r="A9" s="165">
        <v>6</v>
      </c>
      <c r="B9" s="166" t="s">
        <v>154</v>
      </c>
      <c r="C9" s="166">
        <v>2012</v>
      </c>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row>
    <row r="10" spans="1:3" ht="34.5" customHeight="1">
      <c r="A10" s="223" t="s">
        <v>113</v>
      </c>
      <c r="B10" s="223"/>
      <c r="C10" s="223"/>
    </row>
  </sheetData>
  <sheetProtection/>
  <mergeCells count="3">
    <mergeCell ref="A2:C2"/>
    <mergeCell ref="A1:C1"/>
    <mergeCell ref="A10:C10"/>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Tinatin Tsinaridze</cp:lastModifiedBy>
  <cp:lastPrinted>2013-10-03T14:29:15Z</cp:lastPrinted>
  <dcterms:created xsi:type="dcterms:W3CDTF">2009-04-27T08:15:56Z</dcterms:created>
  <dcterms:modified xsi:type="dcterms:W3CDTF">2017-04-26T08:23:54Z</dcterms:modified>
  <cp:category/>
  <cp:version/>
  <cp:contentType/>
  <cp:contentStatus/>
</cp:coreProperties>
</file>